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dity Operations\7.  Warehouses\Private Storage\Private Storage and Delivery Fee Reports\SY22 Private Storage and Delivery Fees\Q4 Private Storage and Delivery Fees\"/>
    </mc:Choice>
  </mc:AlternateContent>
  <xr:revisionPtr revIDLastSave="0" documentId="13_ncr:1_{7899AA4C-6A34-4629-B39B-08B9CEA4C892}" xr6:coauthVersionLast="47" xr6:coauthVersionMax="47" xr10:uidLastSave="{00000000-0000-0000-0000-000000000000}"/>
  <bookViews>
    <workbookView xWindow="-120" yWindow="-120" windowWidth="29040" windowHeight="15840" xr2:uid="{7A73A032-1A0F-4290-BD6D-60B7064DB61D}"/>
  </bookViews>
  <sheets>
    <sheet name="FDP Region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5" i="1" l="1"/>
  <c r="E145" i="1"/>
  <c r="J144" i="1"/>
  <c r="L143" i="1"/>
  <c r="K143" i="1"/>
  <c r="J143" i="1"/>
  <c r="I143" i="1"/>
  <c r="I142" i="1"/>
  <c r="L141" i="1"/>
  <c r="K141" i="1"/>
  <c r="J141" i="1"/>
  <c r="I141" i="1"/>
  <c r="J140" i="1"/>
  <c r="J139" i="1"/>
  <c r="J132" i="1"/>
  <c r="I130" i="1"/>
  <c r="K129" i="1"/>
  <c r="J129" i="1"/>
  <c r="I129" i="1"/>
  <c r="J128" i="1"/>
  <c r="J127" i="1"/>
  <c r="I127" i="1"/>
  <c r="J126" i="1"/>
  <c r="K125" i="1"/>
  <c r="J125" i="1"/>
  <c r="I125" i="1"/>
  <c r="L124" i="1"/>
  <c r="K124" i="1"/>
  <c r="J124" i="1"/>
  <c r="I124" i="1"/>
  <c r="J121" i="1"/>
  <c r="I121" i="1"/>
  <c r="J120" i="1"/>
  <c r="F120" i="1"/>
  <c r="E120" i="1"/>
  <c r="E119" i="1"/>
  <c r="J118" i="1"/>
  <c r="J114" i="1"/>
  <c r="F114" i="1"/>
  <c r="J112" i="1"/>
  <c r="L108" i="1"/>
  <c r="K108" i="1"/>
  <c r="J108" i="1"/>
  <c r="I108" i="1"/>
  <c r="L107" i="1"/>
  <c r="K107" i="1"/>
  <c r="J107" i="1"/>
  <c r="I107" i="1"/>
  <c r="L105" i="1"/>
  <c r="K105" i="1"/>
  <c r="J105" i="1"/>
  <c r="I105" i="1"/>
  <c r="J104" i="1"/>
  <c r="E104" i="1"/>
  <c r="K102" i="1"/>
  <c r="I102" i="1"/>
  <c r="J101" i="1"/>
  <c r="I101" i="1"/>
  <c r="L100" i="1"/>
  <c r="K100" i="1"/>
  <c r="J100" i="1"/>
  <c r="I100" i="1"/>
  <c r="H100" i="1"/>
  <c r="K99" i="1"/>
  <c r="I99" i="1"/>
  <c r="J98" i="1"/>
  <c r="G98" i="1"/>
  <c r="J97" i="1"/>
  <c r="K94" i="1"/>
  <c r="I94" i="1"/>
  <c r="J93" i="1"/>
  <c r="I92" i="1"/>
  <c r="K91" i="1"/>
  <c r="I91" i="1"/>
  <c r="K90" i="1"/>
  <c r="I90" i="1"/>
  <c r="K89" i="1"/>
  <c r="J89" i="1"/>
  <c r="I89" i="1"/>
  <c r="J88" i="1"/>
  <c r="L87" i="1"/>
  <c r="L150" i="1" s="1"/>
  <c r="K87" i="1"/>
  <c r="J87" i="1"/>
  <c r="I87" i="1"/>
  <c r="L83" i="1"/>
  <c r="K83" i="1"/>
  <c r="J83" i="1"/>
  <c r="I83" i="1"/>
  <c r="F83" i="1"/>
  <c r="J82" i="1"/>
  <c r="I82" i="1"/>
  <c r="F82" i="1"/>
  <c r="E82" i="1"/>
  <c r="J81" i="1"/>
  <c r="J80" i="1"/>
  <c r="I80" i="1"/>
  <c r="J79" i="1"/>
  <c r="J78" i="1"/>
  <c r="I78" i="1"/>
  <c r="F78" i="1"/>
  <c r="E78" i="1"/>
  <c r="L77" i="1"/>
  <c r="K77" i="1"/>
  <c r="J77" i="1"/>
  <c r="I77" i="1"/>
  <c r="J76" i="1"/>
  <c r="E76" i="1"/>
  <c r="I75" i="1"/>
  <c r="K73" i="1"/>
  <c r="I73" i="1"/>
  <c r="J72" i="1"/>
  <c r="I72" i="1"/>
  <c r="J71" i="1"/>
  <c r="E71" i="1"/>
  <c r="F70" i="1"/>
  <c r="L67" i="1"/>
  <c r="K67" i="1"/>
  <c r="J67" i="1"/>
  <c r="I67" i="1"/>
  <c r="H67" i="1"/>
  <c r="H150" i="1" s="1"/>
  <c r="G67" i="1"/>
  <c r="G150" i="1" s="1"/>
  <c r="J66" i="1"/>
  <c r="K65" i="1"/>
  <c r="I65" i="1"/>
  <c r="K64" i="1"/>
  <c r="J64" i="1"/>
  <c r="I64" i="1"/>
  <c r="E64" i="1"/>
  <c r="I63" i="1"/>
  <c r="J62" i="1"/>
  <c r="L61" i="1"/>
  <c r="K61" i="1"/>
  <c r="J61" i="1"/>
  <c r="I61" i="1"/>
  <c r="J60" i="1"/>
  <c r="K59" i="1"/>
  <c r="J59" i="1"/>
  <c r="I59" i="1"/>
  <c r="J58" i="1"/>
  <c r="I58" i="1"/>
  <c r="K57" i="1"/>
  <c r="I57" i="1"/>
  <c r="K56" i="1"/>
  <c r="J56" i="1"/>
  <c r="I56" i="1"/>
  <c r="J55" i="1"/>
  <c r="E55" i="1"/>
  <c r="J53" i="1"/>
  <c r="J51" i="1"/>
  <c r="I51" i="1"/>
  <c r="J50" i="1"/>
  <c r="I50" i="1"/>
  <c r="E50" i="1"/>
  <c r="J49" i="1"/>
  <c r="I49" i="1"/>
  <c r="L48" i="1"/>
  <c r="K48" i="1"/>
  <c r="I48" i="1"/>
  <c r="E48" i="1"/>
  <c r="K47" i="1"/>
  <c r="I47" i="1"/>
  <c r="E47" i="1"/>
  <c r="F46" i="1"/>
  <c r="F150" i="1" s="1"/>
  <c r="E46" i="1"/>
  <c r="J45" i="1"/>
  <c r="I45" i="1"/>
  <c r="E45" i="1"/>
  <c r="K43" i="1"/>
  <c r="J43" i="1"/>
  <c r="I43" i="1"/>
  <c r="J42" i="1"/>
  <c r="I42" i="1"/>
  <c r="I41" i="1"/>
  <c r="I39" i="1"/>
  <c r="K38" i="1"/>
  <c r="J38" i="1"/>
  <c r="I38" i="1"/>
  <c r="E37" i="1"/>
  <c r="J36" i="1"/>
  <c r="I36" i="1"/>
  <c r="E36" i="1"/>
  <c r="L35" i="1"/>
  <c r="K35" i="1"/>
  <c r="J35" i="1"/>
  <c r="I35" i="1"/>
  <c r="E35" i="1"/>
  <c r="J34" i="1"/>
  <c r="I34" i="1"/>
  <c r="J33" i="1"/>
  <c r="I33" i="1"/>
  <c r="J32" i="1"/>
  <c r="I32" i="1"/>
  <c r="E32" i="1"/>
  <c r="K31" i="1"/>
  <c r="J31" i="1"/>
  <c r="I31" i="1"/>
  <c r="L30" i="1"/>
  <c r="K30" i="1"/>
  <c r="J30" i="1"/>
  <c r="I30" i="1"/>
  <c r="K27" i="1"/>
  <c r="J27" i="1"/>
  <c r="I27" i="1"/>
  <c r="L25" i="1"/>
  <c r="K25" i="1"/>
  <c r="J25" i="1"/>
  <c r="I25" i="1"/>
  <c r="L24" i="1"/>
  <c r="K24" i="1"/>
  <c r="I24" i="1"/>
  <c r="J23" i="1"/>
  <c r="I23" i="1"/>
  <c r="E23" i="1"/>
  <c r="L22" i="1"/>
  <c r="K22" i="1"/>
  <c r="J22" i="1"/>
  <c r="I22" i="1"/>
  <c r="E19" i="1"/>
  <c r="I18" i="1"/>
  <c r="E18" i="1"/>
  <c r="J17" i="1"/>
  <c r="I17" i="1"/>
  <c r="E17" i="1"/>
  <c r="J16" i="1"/>
  <c r="J150" i="1" s="1"/>
  <c r="E16" i="1"/>
  <c r="K15" i="1"/>
  <c r="K150" i="1" s="1"/>
  <c r="I15" i="1"/>
  <c r="K14" i="1"/>
  <c r="I14" i="1"/>
  <c r="E13" i="1"/>
  <c r="I12" i="1"/>
  <c r="I150" i="1" s="1"/>
  <c r="E12" i="1"/>
  <c r="E150" i="1" s="1"/>
</calcChain>
</file>

<file path=xl/sharedStrings.xml><?xml version="1.0" encoding="utf-8"?>
<sst xmlns="http://schemas.openxmlformats.org/spreadsheetml/2006/main" count="293" uniqueCount="292">
  <si>
    <t>Warehouse:</t>
  </si>
  <si>
    <t>Central Texas Food Bank</t>
  </si>
  <si>
    <t>Quarter:</t>
  </si>
  <si>
    <t>4</t>
  </si>
  <si>
    <t>Reporting Dates of Service:</t>
  </si>
  <si>
    <t>July 1, 2021 - June 30, 2022</t>
  </si>
  <si>
    <r>
      <t>Instructions</t>
    </r>
    <r>
      <rPr>
        <sz val="11"/>
        <color theme="1"/>
        <rFont val="Calibri"/>
        <family val="2"/>
        <scheme val="minor"/>
      </rPr>
      <t xml:space="preserve">: Please list the Total Delivery Fees charged to CEs, Delivery Fees paid by CEs, Private Storage Fees charged to CEs, and Private Storage Fees Paid by CEs </t>
    </r>
    <r>
      <rPr>
        <b/>
        <sz val="11"/>
        <color rgb="FFFF0000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School Year 2022</t>
    </r>
    <r>
      <rPr>
        <b/>
        <sz val="11"/>
        <color theme="1"/>
        <rFont val="Calibri"/>
        <family val="2"/>
        <scheme val="minor"/>
      </rPr>
      <t>. Transactions for delivery and private storage fees are now split out by federal fiscal year.</t>
    </r>
  </si>
  <si>
    <t>Date of Service - July 2021 through September 2021</t>
  </si>
  <si>
    <t>Date of Service - October 2021 through June 2022</t>
  </si>
  <si>
    <t>Region</t>
  </si>
  <si>
    <t>CE ID</t>
  </si>
  <si>
    <t>Contracting Entity Name</t>
  </si>
  <si>
    <r>
      <t xml:space="preserve">Delivery Fees Charged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</si>
  <si>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Delivery Fees Paid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</si>
  <si>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Private Storage Fees Charged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</si>
  <si>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Private Storage Fees Paid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</si>
  <si>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Delivery Fees Charged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</si>
  <si>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r>
      <t xml:space="preserve">Delivery Fees Paid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</si>
  <si>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r>
      <t xml:space="preserve">Private Storage Fees Charged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</si>
  <si>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r>
      <t xml:space="preserve">Private Storage Fees Paid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</si>
  <si>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t>00043</t>
  </si>
  <si>
    <t>ACADEMY ISD</t>
  </si>
  <si>
    <t>00031</t>
  </si>
  <si>
    <t>BANDERA ISD</t>
  </si>
  <si>
    <t>00044</t>
  </si>
  <si>
    <t>BARTLETT ISD</t>
  </si>
  <si>
    <t>00032</t>
  </si>
  <si>
    <t>BASTROP ISD</t>
  </si>
  <si>
    <t>01345</t>
  </si>
  <si>
    <t>BELL COUNTY JUVENILE BOARD</t>
  </si>
  <si>
    <t>00045</t>
  </si>
  <si>
    <t>BELTON ISD</t>
  </si>
  <si>
    <t>00094</t>
  </si>
  <si>
    <t>BLANCO ISD</t>
  </si>
  <si>
    <t>00688</t>
  </si>
  <si>
    <t>BOERNE ISD</t>
  </si>
  <si>
    <t>00775</t>
  </si>
  <si>
    <t>BRADY ISD</t>
  </si>
  <si>
    <t>03873</t>
  </si>
  <si>
    <t>BRAINATION, INC Rockdale - FDP</t>
  </si>
  <si>
    <t>00939</t>
  </si>
  <si>
    <t>BREMOND ISD</t>
  </si>
  <si>
    <t>00814</t>
  </si>
  <si>
    <t>BUCKHOLTS ISD</t>
  </si>
  <si>
    <t>00140</t>
  </si>
  <si>
    <t>BURNET CONS ISD</t>
  </si>
  <si>
    <t>00940</t>
  </si>
  <si>
    <t>CALVERT ISD</t>
  </si>
  <si>
    <t>00809</t>
  </si>
  <si>
    <t>CAMERON ISD</t>
  </si>
  <si>
    <t>01061</t>
  </si>
  <si>
    <t>CEDARS INTERNATIONAL ACADEMY</t>
  </si>
  <si>
    <t>00691</t>
  </si>
  <si>
    <t>CENTER POINT ISD</t>
  </si>
  <si>
    <t>00973</t>
  </si>
  <si>
    <t>CHEROKEE ISD</t>
  </si>
  <si>
    <t>00362</t>
  </si>
  <si>
    <t>CHILTON ISD</t>
  </si>
  <si>
    <t>00215</t>
  </si>
  <si>
    <t>COMAL ISD</t>
  </si>
  <si>
    <t>00689</t>
  </si>
  <si>
    <t>COMFORT ISD</t>
  </si>
  <si>
    <t>00234</t>
  </si>
  <si>
    <t>COPPERAS COVE ISD</t>
  </si>
  <si>
    <t>01157</t>
  </si>
  <si>
    <t>COUPLAND ISD</t>
  </si>
  <si>
    <t>00726</t>
  </si>
  <si>
    <t>DIME BOX ISD</t>
  </si>
  <si>
    <t>00547</t>
  </si>
  <si>
    <t>DRIPPING SPRINGS ISD</t>
  </si>
  <si>
    <t>01071</t>
  </si>
  <si>
    <t>EANES ISD</t>
  </si>
  <si>
    <t>00033</t>
  </si>
  <si>
    <t>ELGIN ISD</t>
  </si>
  <si>
    <t>00230</t>
  </si>
  <si>
    <t>EVANT ISD</t>
  </si>
  <si>
    <t>00723</t>
  </si>
  <si>
    <t>EZZELL ISD</t>
  </si>
  <si>
    <t>00377</t>
  </si>
  <si>
    <t>FAYETTEVILLE ISD</t>
  </si>
  <si>
    <t>00374</t>
  </si>
  <si>
    <t>FLATONIA ISD</t>
  </si>
  <si>
    <t>01147</t>
  </si>
  <si>
    <t>FLORENCE ISD</t>
  </si>
  <si>
    <t>00941</t>
  </si>
  <si>
    <t>FRANKLIN ISD</t>
  </si>
  <si>
    <t>00413</t>
  </si>
  <si>
    <t>FREDERICKSBURG ISD</t>
  </si>
  <si>
    <t>00810</t>
  </si>
  <si>
    <t>GAUSE ISD</t>
  </si>
  <si>
    <t>01148</t>
  </si>
  <si>
    <t>GEORGETOWN ISD</t>
  </si>
  <si>
    <t>00724</t>
  </si>
  <si>
    <t>GIDDINGS ISD</t>
  </si>
  <si>
    <t>00815</t>
  </si>
  <si>
    <t>GOLDTHWAITE ISD</t>
  </si>
  <si>
    <t>00417</t>
  </si>
  <si>
    <t>GONZALES ISD</t>
  </si>
  <si>
    <t>01149</t>
  </si>
  <si>
    <t>GRANGER ISD</t>
  </si>
  <si>
    <t>00718</t>
  </si>
  <si>
    <t>HALLETTSVILLE ISD</t>
  </si>
  <si>
    <t>01060</t>
  </si>
  <si>
    <t>HARMONY PUBLIC SCHOOLS</t>
  </si>
  <si>
    <t>00414</t>
  </si>
  <si>
    <t>HARPER ISD</t>
  </si>
  <si>
    <t>00549</t>
  </si>
  <si>
    <t>HAYS CONS ISD</t>
  </si>
  <si>
    <t>01356</t>
  </si>
  <si>
    <t>HAYS COUNTY JUVENILE CENTER</t>
  </si>
  <si>
    <t>00942</t>
  </si>
  <si>
    <t>HEARNE ISD</t>
  </si>
  <si>
    <t>01286</t>
  </si>
  <si>
    <t>HELPING HAND HOME FOR CHILDREN INC</t>
  </si>
  <si>
    <t>00046</t>
  </si>
  <si>
    <t>HOLLAND ISD</t>
  </si>
  <si>
    <t>00692</t>
  </si>
  <si>
    <t>HUNT ISD</t>
  </si>
  <si>
    <t>05423</t>
  </si>
  <si>
    <t>IDEA Academy Austin - FDP</t>
  </si>
  <si>
    <t>01297</t>
  </si>
  <si>
    <t xml:space="preserve">IMMANUEL LUTHERAN SCHOOL  </t>
  </si>
  <si>
    <t>00694</t>
  </si>
  <si>
    <t>INGRAM ISD</t>
  </si>
  <si>
    <t>01151</t>
  </si>
  <si>
    <t>JARRELL ISD</t>
  </si>
  <si>
    <t>00093</t>
  </si>
  <si>
    <t>JOHNSON CITY ISD</t>
  </si>
  <si>
    <t>00233</t>
  </si>
  <si>
    <t>JONESBORO ISD</t>
  </si>
  <si>
    <t>05555</t>
  </si>
  <si>
    <t>Jubilee Academic Center-Athlos Austin FDP</t>
  </si>
  <si>
    <t>00695</t>
  </si>
  <si>
    <t>JUNCTION ISD</t>
  </si>
  <si>
    <t>00544</t>
  </si>
  <si>
    <t>KATHERINE ANNE PORTER SCHOOL</t>
  </si>
  <si>
    <t>00693</t>
  </si>
  <si>
    <t>KERRVILLE ISD</t>
  </si>
  <si>
    <t>00047</t>
  </si>
  <si>
    <t>KILLEEN ISD</t>
  </si>
  <si>
    <t>01064</t>
  </si>
  <si>
    <t>KIPP TEXAS PUBLIC SCHOOLS</t>
  </si>
  <si>
    <t>00375</t>
  </si>
  <si>
    <t>LA GRANGE ISD</t>
  </si>
  <si>
    <t>01073</t>
  </si>
  <si>
    <t>LAGO VISTA ISD</t>
  </si>
  <si>
    <t>01074</t>
  </si>
  <si>
    <t>LAKE TRAVIS ISD</t>
  </si>
  <si>
    <t>00715</t>
  </si>
  <si>
    <t>LAMPASAS ISD</t>
  </si>
  <si>
    <t>01156</t>
  </si>
  <si>
    <t>LEANDER ISD</t>
  </si>
  <si>
    <t>00725</t>
  </si>
  <si>
    <t>LEXINGTON ISD</t>
  </si>
  <si>
    <t>00748</t>
  </si>
  <si>
    <t>LLANO ISD</t>
  </si>
  <si>
    <t>00142</t>
  </si>
  <si>
    <t>LOCKHART ISD</t>
  </si>
  <si>
    <t>00777</t>
  </si>
  <si>
    <t>LOHN ISD</t>
  </si>
  <si>
    <t>00716</t>
  </si>
  <si>
    <t>LOMETA ISD</t>
  </si>
  <si>
    <t>00143</t>
  </si>
  <si>
    <t>LULING ISD</t>
  </si>
  <si>
    <t>01229</t>
  </si>
  <si>
    <t>LUTHERAN SOCIAL SERVICES OF THE SOUTH, INC</t>
  </si>
  <si>
    <t>01070</t>
  </si>
  <si>
    <t>MANOR ISD</t>
  </si>
  <si>
    <t>00141</t>
  </si>
  <si>
    <t>MARBLE FALLS ISD</t>
  </si>
  <si>
    <t>00451</t>
  </si>
  <si>
    <t>MARION ISD</t>
  </si>
  <si>
    <t>00363</t>
  </si>
  <si>
    <t>MARLIN ISD</t>
  </si>
  <si>
    <t>00768</t>
  </si>
  <si>
    <t>MASON ISD</t>
  </si>
  <si>
    <t>00035</t>
  </si>
  <si>
    <t>MCDADE ISD</t>
  </si>
  <si>
    <t>00030</t>
  </si>
  <si>
    <t>MEDINA ISD</t>
  </si>
  <si>
    <t>00805</t>
  </si>
  <si>
    <t>MENARD ISD</t>
  </si>
  <si>
    <t>01722</t>
  </si>
  <si>
    <t>MERIDIAN WORLD SCHOOL LLC</t>
  </si>
  <si>
    <t>00811</t>
  </si>
  <si>
    <t>MILANO ISD</t>
  </si>
  <si>
    <t>00719</t>
  </si>
  <si>
    <t>MOULTON ISD</t>
  </si>
  <si>
    <t>00816</t>
  </si>
  <si>
    <t>MULLIN ISD</t>
  </si>
  <si>
    <t>00943</t>
  </si>
  <si>
    <t>MUMFORD ISD</t>
  </si>
  <si>
    <t>00450</t>
  </si>
  <si>
    <t>NAVARRO ISD</t>
  </si>
  <si>
    <t>00214</t>
  </si>
  <si>
    <t>NEW BRAUNFELS ISD</t>
  </si>
  <si>
    <t>01188</t>
  </si>
  <si>
    <t>NEW HORIZONS RANCH AND CENTER INC</t>
  </si>
  <si>
    <t>00418</t>
  </si>
  <si>
    <t>NIXON-SMILEY CONS ISD</t>
  </si>
  <si>
    <t>00232</t>
  </si>
  <si>
    <t>OGLESBY ISD</t>
  </si>
  <si>
    <t>01234</t>
  </si>
  <si>
    <t>PATHWAYS YOUTH &amp; FAMILY SERVICES INC</t>
  </si>
  <si>
    <t>01275</t>
  </si>
  <si>
    <t>PEGASUS SCHOOLS INC</t>
  </si>
  <si>
    <t>01069</t>
  </si>
  <si>
    <t>PFLUGERVILLE ISD</t>
  </si>
  <si>
    <t>01360</t>
  </si>
  <si>
    <t xml:space="preserve">PHOENIX HOUSES OF TEXAS, INC.  </t>
  </si>
  <si>
    <t>00144</t>
  </si>
  <si>
    <t>PRAIRIE LEA ISD</t>
  </si>
  <si>
    <t>00818</t>
  </si>
  <si>
    <t>PRIDDY ISD</t>
  </si>
  <si>
    <t>00042</t>
  </si>
  <si>
    <t>PRIORITY SYSTEMS, INC.</t>
  </si>
  <si>
    <t>00972</t>
  </si>
  <si>
    <t>RICHLAND SPRINGS ISD</t>
  </si>
  <si>
    <t>00776</t>
  </si>
  <si>
    <t>ROCHELLE ISD</t>
  </si>
  <si>
    <t>00812</t>
  </si>
  <si>
    <t>ROCKDALE ISD</t>
  </si>
  <si>
    <t>00048</t>
  </si>
  <si>
    <t>ROGERS ISD</t>
  </si>
  <si>
    <t>00365</t>
  </si>
  <si>
    <t>ROSEBUD-LOTT ISD</t>
  </si>
  <si>
    <t>01153</t>
  </si>
  <si>
    <t>ROUND ROCK ISD</t>
  </si>
  <si>
    <t>00378</t>
  </si>
  <si>
    <t>ROUND TOP-CARMINE ISD</t>
  </si>
  <si>
    <t>01206</t>
  </si>
  <si>
    <t xml:space="preserve">SACRED HEART CHURCH  </t>
  </si>
  <si>
    <t>00049</t>
  </si>
  <si>
    <t>SALADO ISD</t>
  </si>
  <si>
    <t>00546</t>
  </si>
  <si>
    <t>SAN MARCOS CONS ISD</t>
  </si>
  <si>
    <t>00971</t>
  </si>
  <si>
    <t>SAN SABA ISD</t>
  </si>
  <si>
    <t>00449</t>
  </si>
  <si>
    <t>SCHERTZ-CIBOLO-U CITY ISD</t>
  </si>
  <si>
    <t>00376</t>
  </si>
  <si>
    <t>SCHULENBURG ISD</t>
  </si>
  <si>
    <t>00448</t>
  </si>
  <si>
    <t>SEGUIN ISD</t>
  </si>
  <si>
    <t>00720</t>
  </si>
  <si>
    <t>SHINER ISD</t>
  </si>
  <si>
    <t>01247</t>
  </si>
  <si>
    <t>SJRC TEXAS</t>
  </si>
  <si>
    <t>00034</t>
  </si>
  <si>
    <t>SMITHVILLE ISD</t>
  </si>
  <si>
    <t>01373</t>
  </si>
  <si>
    <t>ST ROSE OF LIMA SCHOOL</t>
  </si>
  <si>
    <t>00722</t>
  </si>
  <si>
    <t>SWEET HOME ISD</t>
  </si>
  <si>
    <t>00050</t>
  </si>
  <si>
    <t>TEMPLE ISD</t>
  </si>
  <si>
    <t>04728</t>
  </si>
  <si>
    <t>Texans Can Academies-Austin Can!  FDP</t>
  </si>
  <si>
    <t>01059</t>
  </si>
  <si>
    <t>TEXAS EMPOWERMENT ACADEMY</t>
  </si>
  <si>
    <t>01249</t>
  </si>
  <si>
    <t>TEXAS JUVENILE JUSTICE DEPARTMENT</t>
  </si>
  <si>
    <t>Unapproved on TX UNPS</t>
  </si>
  <si>
    <t>05446</t>
  </si>
  <si>
    <t>TEXAS SAN MARCOS TREATMENT CENTER</t>
  </si>
  <si>
    <t>01280</t>
  </si>
  <si>
    <t>TEXAS SCHOOL FOR THE BLIND &amp; VISUALLY IMPAIRED</t>
  </si>
  <si>
    <t>01281</t>
  </si>
  <si>
    <t>TEXAS SCHOOL FOR THE DEAF</t>
  </si>
  <si>
    <t>01398</t>
  </si>
  <si>
    <t>The SAFE Alliance</t>
  </si>
  <si>
    <t>00813</t>
  </si>
  <si>
    <t>THORNDALE ISD</t>
  </si>
  <si>
    <t>01155</t>
  </si>
  <si>
    <t>THRALL ISD</t>
  </si>
  <si>
    <t>03860</t>
  </si>
  <si>
    <t>TJJD-GIDDINGS STATE HOME SCHOOL - FDP</t>
  </si>
  <si>
    <t>01282</t>
  </si>
  <si>
    <t>TRAVIS COUNTY JUVENILE PROBATION DEPARTMENT</t>
  </si>
  <si>
    <t>00051</t>
  </si>
  <si>
    <t>TROY ISD</t>
  </si>
  <si>
    <t>01063</t>
  </si>
  <si>
    <t>UNIVERSITY OF TEXAS AT AUSTIN</t>
  </si>
  <si>
    <t>00721</t>
  </si>
  <si>
    <t>VYSEHRAD ISD</t>
  </si>
  <si>
    <t>00419</t>
  </si>
  <si>
    <t>WAELDER ISD</t>
  </si>
  <si>
    <t>00364</t>
  </si>
  <si>
    <t>WESTPHALIA ISD</t>
  </si>
  <si>
    <t>00548</t>
  </si>
  <si>
    <t>WIMBERLEY ISD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</si>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</sst>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9" fontId="0" fillId="0" borderId="0" xfId="0" applyNumberFormat="1"/>
    <xf numFmtId="0" fontId="2" fillId="0" borderId="1" xfId="0" applyFont="1" applyBorder="1"/>
    <xf numFmtId="49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3" fillId="0" borderId="2" xfId="0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7" xfId="0" applyBorder="1" applyAlignment="1">
      <alignment horizontal="left" wrapText="1"/>
    </xf>
    <xf numFmtId="49" fontId="0" fillId="0" borderId="7" xfId="0" applyNumberForma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13" xfId="0" applyFill="1" applyBorder="1"/>
    <xf numFmtId="49" fontId="0" fillId="4" borderId="13" xfId="0" applyNumberFormat="1" applyFill="1" applyBorder="1"/>
    <xf numFmtId="0" fontId="0" fillId="4" borderId="14" xfId="0" applyFill="1" applyBorder="1"/>
    <xf numFmtId="0" fontId="2" fillId="4" borderId="15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44" fontId="0" fillId="0" borderId="15" xfId="1" applyFont="1" applyFill="1" applyBorder="1" applyProtection="1">
      <protection locked="0"/>
    </xf>
    <xf numFmtId="44" fontId="0" fillId="0" borderId="13" xfId="1" applyFont="1" applyFill="1" applyBorder="1" applyProtection="1">
      <protection locked="0"/>
    </xf>
    <xf numFmtId="44" fontId="0" fillId="0" borderId="16" xfId="1" applyFont="1" applyBorder="1" applyProtection="1">
      <protection locked="0"/>
    </xf>
    <xf numFmtId="44" fontId="5" fillId="0" borderId="13" xfId="1" applyFont="1" applyFill="1" applyBorder="1" applyProtection="1">
      <protection locked="0"/>
    </xf>
    <xf numFmtId="0" fontId="0" fillId="0" borderId="0" xfId="0" applyProtection="1">
      <protection locked="0"/>
    </xf>
    <xf numFmtId="44" fontId="0" fillId="0" borderId="13" xfId="1" applyFont="1" applyBorder="1" applyProtection="1">
      <protection locked="0"/>
    </xf>
    <xf numFmtId="44" fontId="0" fillId="0" borderId="15" xfId="0" applyNumberFormat="1" applyBorder="1" applyProtection="1">
      <protection locked="0"/>
    </xf>
    <xf numFmtId="44" fontId="0" fillId="0" borderId="13" xfId="0" applyNumberFormat="1" applyBorder="1" applyProtection="1">
      <protection locked="0"/>
    </xf>
    <xf numFmtId="44" fontId="0" fillId="0" borderId="16" xfId="0" applyNumberFormat="1" applyBorder="1" applyProtection="1">
      <protection locked="0"/>
    </xf>
    <xf numFmtId="0" fontId="0" fillId="0" borderId="13" xfId="0" applyBorder="1" applyProtection="1">
      <protection locked="0"/>
    </xf>
    <xf numFmtId="49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/>
    <xf numFmtId="0" fontId="2" fillId="5" borderId="14" xfId="0" applyFont="1" applyFill="1" applyBorder="1"/>
    <xf numFmtId="44" fontId="0" fillId="0" borderId="15" xfId="0" applyNumberFormat="1" applyBorder="1"/>
    <xf numFmtId="44" fontId="0" fillId="0" borderId="13" xfId="0" applyNumberFormat="1" applyBorder="1"/>
    <xf numFmtId="44" fontId="0" fillId="0" borderId="16" xfId="0" applyNumberFormat="1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762C-C0D9-49D7-B289-3389C34ECA01}">
  <dimension ref="B1:L150"/>
  <sheetViews>
    <sheetView tabSelected="1" topLeftCell="B1" zoomScale="90" zoomScaleNormal="90" workbookViewId="0">
      <pane ySplit="10" topLeftCell="A74" activePane="bottomLeft" state="frozen"/>
      <selection pane="bottomLeft" activeCell="F76" sqref="F76"/>
    </sheetView>
  </sheetViews>
  <sheetFormatPr defaultRowHeight="15" x14ac:dyDescent="0.25"/>
  <cols>
    <col min="1" max="1" width="4.140625" customWidth="1"/>
    <col min="2" max="2" width="15.42578125" bestFit="1" customWidth="1"/>
    <col min="3" max="3" width="29.5703125" style="1" bestFit="1" customWidth="1"/>
    <col min="4" max="4" width="65.28515625" bestFit="1" customWidth="1"/>
    <col min="5" max="5" width="21" customWidth="1"/>
    <col min="6" max="6" width="17.5703125" bestFit="1" customWidth="1"/>
    <col min="7" max="7" width="27.28515625" customWidth="1"/>
    <col min="8" max="8" width="23.7109375" bestFit="1" customWidth="1"/>
    <col min="9" max="12" width="21" customWidth="1"/>
  </cols>
  <sheetData>
    <row r="1" spans="2:12" ht="5.25" customHeight="1" thickBot="1" x14ac:dyDescent="0.3"/>
    <row r="2" spans="2:12" ht="19.899999999999999" customHeight="1" thickBot="1" x14ac:dyDescent="0.3">
      <c r="B2" s="2" t="s">
        <v>0</v>
      </c>
      <c r="C2" s="3" t="s">
        <v>1</v>
      </c>
    </row>
    <row r="3" spans="2:12" ht="15.75" thickBot="1" x14ac:dyDescent="0.3">
      <c r="B3" s="4" t="s">
        <v>2</v>
      </c>
      <c r="C3" s="3" t="s">
        <v>3</v>
      </c>
    </row>
    <row r="4" spans="2:12" ht="30.75" thickBot="1" x14ac:dyDescent="0.3">
      <c r="B4" s="5" t="s">
        <v>4</v>
      </c>
      <c r="C4" s="6" t="s">
        <v>5</v>
      </c>
    </row>
    <row r="6" spans="2:12" ht="15" customHeight="1" x14ac:dyDescent="0.25">
      <c r="B6" s="38" t="s">
        <v>6</v>
      </c>
      <c r="C6" s="39"/>
      <c r="D6" s="39"/>
      <c r="E6" s="40"/>
      <c r="F6" s="7"/>
      <c r="G6" s="7"/>
      <c r="H6" s="7"/>
    </row>
    <row r="7" spans="2:12" x14ac:dyDescent="0.25">
      <c r="B7" s="41"/>
      <c r="C7" s="42"/>
      <c r="D7" s="42"/>
      <c r="E7" s="43"/>
      <c r="F7" s="7"/>
      <c r="G7" s="7"/>
      <c r="H7" s="7"/>
    </row>
    <row r="8" spans="2:12" ht="15.75" thickBot="1" x14ac:dyDescent="0.3">
      <c r="B8" s="8"/>
      <c r="C8" s="8"/>
      <c r="D8" s="8"/>
      <c r="E8" s="8"/>
      <c r="F8" s="7"/>
      <c r="G8" s="7"/>
      <c r="H8" s="7"/>
    </row>
    <row r="9" spans="2:12" ht="19.899999999999999" customHeight="1" thickTop="1" x14ac:dyDescent="0.3">
      <c r="B9" s="9"/>
      <c r="C9" s="10"/>
      <c r="D9" s="11"/>
      <c r="E9" s="44" t="s">
        <v>7</v>
      </c>
      <c r="F9" s="45"/>
      <c r="G9" s="45"/>
      <c r="H9" s="46"/>
      <c r="I9" s="47" t="s">
        <v>8</v>
      </c>
      <c r="J9" s="48"/>
      <c r="K9" s="48"/>
      <c r="L9" s="49"/>
    </row>
    <row r="10" spans="2:12" ht="75" x14ac:dyDescent="0.25">
      <c r="B10" s="12" t="s">
        <v>9</v>
      </c>
      <c r="C10" s="13" t="s">
        <v>10</v>
      </c>
      <c r="D10" s="14" t="s">
        <v>11</v>
      </c>
      <c r="E10" s="15" t="s">
        <v>12</v>
      </c>
      <c r="F10" s="16" t="s">
        <v>13</v>
      </c>
      <c r="G10" s="16" t="s">
        <v>14</v>
      </c>
      <c r="H10" s="17" t="s">
        <v>15</v>
      </c>
      <c r="I10" s="15" t="s">
        <v>16</v>
      </c>
      <c r="J10" s="16" t="s">
        <v>17</v>
      </c>
      <c r="K10" s="16" t="s">
        <v>18</v>
      </c>
      <c r="L10" s="17" t="s">
        <v>19</v>
      </c>
    </row>
    <row r="11" spans="2:12" x14ac:dyDescent="0.25">
      <c r="B11" s="18">
        <v>8</v>
      </c>
      <c r="C11" s="19" t="s">
        <v>20</v>
      </c>
      <c r="D11" s="20" t="s">
        <v>21</v>
      </c>
      <c r="E11" s="21">
        <v>92.8</v>
      </c>
      <c r="F11" s="22"/>
      <c r="G11" s="22"/>
      <c r="H11" s="23"/>
      <c r="I11" s="21">
        <v>1707.93</v>
      </c>
      <c r="J11" s="22">
        <v>1495.28</v>
      </c>
      <c r="K11" s="22"/>
      <c r="L11" s="23"/>
    </row>
    <row r="12" spans="2:12" x14ac:dyDescent="0.25">
      <c r="B12" s="18">
        <v>8</v>
      </c>
      <c r="C12" s="19" t="s">
        <v>22</v>
      </c>
      <c r="D12" s="20" t="s">
        <v>23</v>
      </c>
      <c r="E12" s="21">
        <f>63.6+80.81+49.81+72.44</f>
        <v>266.65999999999997</v>
      </c>
      <c r="F12" s="22"/>
      <c r="G12" s="22"/>
      <c r="H12" s="23"/>
      <c r="I12" s="21">
        <f>854.07+529.11+792.04+698.92</f>
        <v>2874.1400000000003</v>
      </c>
      <c r="J12" s="22">
        <v>2712.1</v>
      </c>
      <c r="K12" s="22"/>
      <c r="L12" s="23"/>
    </row>
    <row r="13" spans="2:12" x14ac:dyDescent="0.25">
      <c r="B13" s="18">
        <v>8</v>
      </c>
      <c r="C13" s="19" t="s">
        <v>24</v>
      </c>
      <c r="D13" s="20" t="s">
        <v>25</v>
      </c>
      <c r="E13" s="21">
        <f>97.02</f>
        <v>97.02</v>
      </c>
      <c r="F13" s="22"/>
      <c r="G13" s="22"/>
      <c r="H13" s="23"/>
      <c r="I13" s="21">
        <v>1288.76</v>
      </c>
      <c r="J13" s="22">
        <v>466.56</v>
      </c>
      <c r="K13" s="22">
        <v>43</v>
      </c>
      <c r="L13" s="23"/>
    </row>
    <row r="14" spans="2:12" x14ac:dyDescent="0.25">
      <c r="B14" s="18">
        <v>8</v>
      </c>
      <c r="C14" s="19" t="s">
        <v>26</v>
      </c>
      <c r="D14" s="20" t="s">
        <v>27</v>
      </c>
      <c r="E14" s="21">
        <v>0</v>
      </c>
      <c r="F14" s="22"/>
      <c r="G14" s="22"/>
      <c r="H14" s="23"/>
      <c r="I14" s="21">
        <f>1537.04+1943.52-22.5+1489.17+2104.09+876.16+1736.47+1558.61+1301.29+1423.72+1488.74+1334.82+1475.85+1456.47</f>
        <v>19703.449999999997</v>
      </c>
      <c r="J14" s="22"/>
      <c r="K14" s="22">
        <f>7.5+1.5+10.5+1.5+1.5</f>
        <v>22.5</v>
      </c>
      <c r="L14" s="23"/>
    </row>
    <row r="15" spans="2:12" x14ac:dyDescent="0.25">
      <c r="B15" s="18">
        <v>8</v>
      </c>
      <c r="C15" s="19" t="s">
        <v>28</v>
      </c>
      <c r="D15" s="20" t="s">
        <v>29</v>
      </c>
      <c r="E15" s="21">
        <v>0</v>
      </c>
      <c r="F15" s="24"/>
      <c r="G15" s="22"/>
      <c r="H15" s="23"/>
      <c r="I15" s="21">
        <f>15+110.4+23.04+79.73+7.34</f>
        <v>235.51000000000002</v>
      </c>
      <c r="J15" s="24"/>
      <c r="K15" s="22">
        <f>9.4+12.7+4.5+4.5+7.5</f>
        <v>38.6</v>
      </c>
      <c r="L15" s="23"/>
    </row>
    <row r="16" spans="2:12" x14ac:dyDescent="0.25">
      <c r="B16" s="18">
        <v>8</v>
      </c>
      <c r="C16" s="19" t="s">
        <v>30</v>
      </c>
      <c r="D16" s="20" t="s">
        <v>31</v>
      </c>
      <c r="E16" s="21">
        <f>1082.75</f>
        <v>1082.75</v>
      </c>
      <c r="F16" s="22"/>
      <c r="G16" s="22"/>
      <c r="H16" s="23"/>
      <c r="I16" s="21">
        <v>17751.82</v>
      </c>
      <c r="J16" s="22">
        <f>18787.77-34.5-330.15-3.59</f>
        <v>18419.53</v>
      </c>
      <c r="K16" s="22"/>
      <c r="L16" s="23"/>
    </row>
    <row r="17" spans="2:12" x14ac:dyDescent="0.25">
      <c r="B17" s="18">
        <v>8</v>
      </c>
      <c r="C17" s="19" t="s">
        <v>32</v>
      </c>
      <c r="D17" s="20" t="s">
        <v>33</v>
      </c>
      <c r="E17" s="21">
        <f>152.32+58.32</f>
        <v>210.64</v>
      </c>
      <c r="F17" s="22"/>
      <c r="G17" s="22"/>
      <c r="H17" s="23"/>
      <c r="I17" s="21">
        <f>2512.27</f>
        <v>2512.27</v>
      </c>
      <c r="J17" s="22">
        <f>2722.91</f>
        <v>2722.91</v>
      </c>
      <c r="K17" s="22"/>
      <c r="L17" s="23"/>
    </row>
    <row r="18" spans="2:12" x14ac:dyDescent="0.25">
      <c r="B18" s="18">
        <v>8</v>
      </c>
      <c r="C18" s="19" t="s">
        <v>34</v>
      </c>
      <c r="D18" s="20" t="s">
        <v>35</v>
      </c>
      <c r="E18" s="21">
        <f>58.32+127.68+45.09+88.16</f>
        <v>319.25</v>
      </c>
      <c r="F18" s="22"/>
      <c r="G18" s="22"/>
      <c r="H18" s="23"/>
      <c r="I18" s="21">
        <f>6794.57-15</f>
        <v>6779.57</v>
      </c>
      <c r="J18" s="22"/>
      <c r="K18" s="22">
        <v>15</v>
      </c>
      <c r="L18" s="23">
        <v>15</v>
      </c>
    </row>
    <row r="19" spans="2:12" x14ac:dyDescent="0.25">
      <c r="B19" s="18">
        <v>8</v>
      </c>
      <c r="C19" s="19" t="s">
        <v>36</v>
      </c>
      <c r="D19" s="20" t="s">
        <v>37</v>
      </c>
      <c r="E19" s="21">
        <f>71.7</f>
        <v>71.7</v>
      </c>
      <c r="F19" s="22"/>
      <c r="G19" s="22"/>
      <c r="H19" s="23"/>
      <c r="I19" s="21">
        <v>2102.5700000000002</v>
      </c>
      <c r="J19" s="22">
        <v>390.04</v>
      </c>
      <c r="K19" s="22"/>
      <c r="L19" s="23"/>
    </row>
    <row r="20" spans="2:12" x14ac:dyDescent="0.25">
      <c r="B20" s="18">
        <v>8</v>
      </c>
      <c r="C20" s="19" t="s">
        <v>38</v>
      </c>
      <c r="D20" s="20" t="s">
        <v>39</v>
      </c>
      <c r="E20" s="21">
        <v>92.8</v>
      </c>
      <c r="F20" s="22"/>
      <c r="G20" s="22"/>
      <c r="H20" s="23"/>
      <c r="I20" s="21">
        <v>959.7</v>
      </c>
      <c r="J20" s="22">
        <v>761.56</v>
      </c>
      <c r="K20" s="22"/>
      <c r="L20" s="23"/>
    </row>
    <row r="21" spans="2:12" x14ac:dyDescent="0.25">
      <c r="B21" s="18">
        <v>8</v>
      </c>
      <c r="C21" s="19" t="s">
        <v>40</v>
      </c>
      <c r="D21" s="20" t="s">
        <v>41</v>
      </c>
      <c r="E21" s="21">
        <v>0</v>
      </c>
      <c r="F21" s="22"/>
      <c r="G21" s="22"/>
      <c r="H21" s="23"/>
      <c r="I21" s="21">
        <v>1190.0899999999999</v>
      </c>
      <c r="J21" s="22">
        <v>1093.07</v>
      </c>
      <c r="K21" s="22"/>
      <c r="L21" s="23"/>
    </row>
    <row r="22" spans="2:12" x14ac:dyDescent="0.25">
      <c r="B22" s="18">
        <v>8</v>
      </c>
      <c r="C22" s="19" t="s">
        <v>42</v>
      </c>
      <c r="D22" s="20" t="s">
        <v>43</v>
      </c>
      <c r="E22" s="21">
        <v>63.1</v>
      </c>
      <c r="F22" s="22"/>
      <c r="G22" s="22"/>
      <c r="H22" s="23"/>
      <c r="I22" s="21">
        <f>993.52-28.5-37-28.4-6-11.7</f>
        <v>881.92</v>
      </c>
      <c r="J22" s="22">
        <f>63.18+228.96+23.04-28.4</f>
        <v>286.78000000000003</v>
      </c>
      <c r="K22" s="22">
        <f>28.5+37+28.4+6+11.7</f>
        <v>111.60000000000001</v>
      </c>
      <c r="L22" s="23">
        <f>28.5+65.5+28.4</f>
        <v>122.4</v>
      </c>
    </row>
    <row r="23" spans="2:12" x14ac:dyDescent="0.25">
      <c r="B23" s="18">
        <v>8</v>
      </c>
      <c r="C23" s="19" t="s">
        <v>44</v>
      </c>
      <c r="D23" s="20" t="s">
        <v>45</v>
      </c>
      <c r="E23" s="21">
        <f>947.76</f>
        <v>947.76</v>
      </c>
      <c r="F23" s="22">
        <v>394.9</v>
      </c>
      <c r="G23" s="22"/>
      <c r="H23" s="23"/>
      <c r="I23" s="21">
        <f>5897.55-93</f>
        <v>5804.55</v>
      </c>
      <c r="J23" s="22">
        <f>552.86+338.56+599.53+812.95+1584.97+289.34+720.65+452.34</f>
        <v>5351.2</v>
      </c>
      <c r="K23" s="22">
        <v>93</v>
      </c>
      <c r="L23" s="23"/>
    </row>
    <row r="24" spans="2:12" x14ac:dyDescent="0.25">
      <c r="B24" s="18">
        <v>8</v>
      </c>
      <c r="C24" s="19" t="s">
        <v>46</v>
      </c>
      <c r="D24" s="20" t="s">
        <v>47</v>
      </c>
      <c r="E24" s="21">
        <v>0</v>
      </c>
      <c r="F24" s="22"/>
      <c r="G24" s="22"/>
      <c r="H24" s="23"/>
      <c r="I24" s="21">
        <f>71.7+23.04+127.68+119.08+208.32</f>
        <v>549.81999999999994</v>
      </c>
      <c r="J24" s="22">
        <v>176.68</v>
      </c>
      <c r="K24" s="22">
        <f>27.5+49+50.5+52.5+65+79</f>
        <v>323.5</v>
      </c>
      <c r="L24" s="23">
        <f>50.5+65</f>
        <v>115.5</v>
      </c>
    </row>
    <row r="25" spans="2:12" x14ac:dyDescent="0.25">
      <c r="B25" s="18">
        <v>8</v>
      </c>
      <c r="C25" s="19" t="s">
        <v>48</v>
      </c>
      <c r="D25" s="20" t="s">
        <v>49</v>
      </c>
      <c r="E25" s="21">
        <v>249</v>
      </c>
      <c r="F25" s="22"/>
      <c r="G25" s="22"/>
      <c r="H25" s="23"/>
      <c r="I25" s="21">
        <f>3052-854.8-294</f>
        <v>1903.1999999999998</v>
      </c>
      <c r="J25" s="22">
        <f>3052-854.8</f>
        <v>2197.1999999999998</v>
      </c>
      <c r="K25" s="22">
        <f>37.5+86.5+181.6+549.2</f>
        <v>854.80000000000007</v>
      </c>
      <c r="L25" s="23">
        <f>37.5+86.5+181.6+549.2</f>
        <v>854.80000000000007</v>
      </c>
    </row>
    <row r="26" spans="2:12" x14ac:dyDescent="0.25">
      <c r="B26" s="18">
        <v>8</v>
      </c>
      <c r="C26" s="19" t="s">
        <v>50</v>
      </c>
      <c r="D26" s="20" t="s">
        <v>51</v>
      </c>
      <c r="E26" s="21">
        <v>0</v>
      </c>
      <c r="F26" s="22"/>
      <c r="G26" s="22"/>
      <c r="H26" s="23"/>
      <c r="I26" s="21">
        <v>0</v>
      </c>
      <c r="J26" s="22"/>
      <c r="K26" s="22"/>
      <c r="L26" s="23"/>
    </row>
    <row r="27" spans="2:12" x14ac:dyDescent="0.25">
      <c r="B27" s="18">
        <v>8</v>
      </c>
      <c r="C27" s="19" t="s">
        <v>52</v>
      </c>
      <c r="D27" s="20" t="s">
        <v>53</v>
      </c>
      <c r="E27" s="21">
        <v>0</v>
      </c>
      <c r="F27" s="22"/>
      <c r="G27" s="22"/>
      <c r="H27" s="23"/>
      <c r="I27" s="21">
        <f>333.08-3.5-1</f>
        <v>328.58</v>
      </c>
      <c r="J27" s="22">
        <f>31.26+53.46+13.34+127.64+7.34</f>
        <v>233.04</v>
      </c>
      <c r="K27" s="22">
        <f>3.5+1</f>
        <v>4.5</v>
      </c>
      <c r="L27" s="23">
        <v>1</v>
      </c>
    </row>
    <row r="28" spans="2:12" x14ac:dyDescent="0.25">
      <c r="B28" s="18">
        <v>8</v>
      </c>
      <c r="C28" s="19" t="s">
        <v>54</v>
      </c>
      <c r="D28" s="20" t="s">
        <v>55</v>
      </c>
      <c r="E28" s="21">
        <v>0</v>
      </c>
      <c r="F28" s="22"/>
      <c r="G28" s="22"/>
      <c r="H28" s="23"/>
      <c r="I28" s="21">
        <v>0</v>
      </c>
      <c r="J28" s="22"/>
      <c r="K28" s="22"/>
      <c r="L28" s="23"/>
    </row>
    <row r="29" spans="2:12" x14ac:dyDescent="0.25">
      <c r="B29" s="18">
        <v>8</v>
      </c>
      <c r="C29" s="19" t="s">
        <v>56</v>
      </c>
      <c r="D29" s="20" t="s">
        <v>57</v>
      </c>
      <c r="E29" s="21">
        <v>137.75</v>
      </c>
      <c r="F29" s="22"/>
      <c r="G29" s="22"/>
      <c r="H29" s="23"/>
      <c r="I29" s="21">
        <v>1283.04</v>
      </c>
      <c r="J29" s="22">
        <v>1402.19</v>
      </c>
      <c r="K29" s="22"/>
      <c r="L29" s="23"/>
    </row>
    <row r="30" spans="2:12" x14ac:dyDescent="0.25">
      <c r="B30" s="18">
        <v>8</v>
      </c>
      <c r="C30" s="19" t="s">
        <v>58</v>
      </c>
      <c r="D30" s="20" t="s">
        <v>59</v>
      </c>
      <c r="E30" s="21">
        <v>0</v>
      </c>
      <c r="F30" s="22"/>
      <c r="G30" s="22"/>
      <c r="H30" s="23"/>
      <c r="I30" s="21">
        <f>16888.27-63</f>
        <v>16825.27</v>
      </c>
      <c r="J30" s="22">
        <f>17260.63-8-61.5-4.48-4.47-4.62-13.35-4.45-8.9-8.94-4.6-4.48-32.06</f>
        <v>17100.780000000002</v>
      </c>
      <c r="K30" s="22">
        <f>1.5+61.5+8</f>
        <v>71</v>
      </c>
      <c r="L30" s="23">
        <f>8</f>
        <v>8</v>
      </c>
    </row>
    <row r="31" spans="2:12" x14ac:dyDescent="0.25">
      <c r="B31" s="18">
        <v>8</v>
      </c>
      <c r="C31" s="19" t="s">
        <v>60</v>
      </c>
      <c r="D31" s="20" t="s">
        <v>61</v>
      </c>
      <c r="E31" s="21">
        <v>483.08</v>
      </c>
      <c r="F31" s="22">
        <v>348.84</v>
      </c>
      <c r="G31" s="22"/>
      <c r="H31" s="23"/>
      <c r="I31" s="21">
        <f>1389.66-848</f>
        <v>541.66000000000008</v>
      </c>
      <c r="J31" s="22">
        <f>216+76.48</f>
        <v>292.48</v>
      </c>
      <c r="K31" s="22">
        <f>144+75+99.5+58.5+86+54+87+98+146</f>
        <v>848</v>
      </c>
      <c r="L31" s="23"/>
    </row>
    <row r="32" spans="2:12" x14ac:dyDescent="0.25">
      <c r="B32" s="18">
        <v>8</v>
      </c>
      <c r="C32" s="19" t="s">
        <v>62</v>
      </c>
      <c r="D32" s="20" t="s">
        <v>63</v>
      </c>
      <c r="E32" s="21">
        <f>80.1+92.8+524.14</f>
        <v>697.04</v>
      </c>
      <c r="F32" s="22">
        <v>169.86</v>
      </c>
      <c r="G32" s="22"/>
      <c r="H32" s="23"/>
      <c r="I32" s="21">
        <f>1717.08+92.8+613.89+2212.66+412.85+299.52+412.85</f>
        <v>5761.6500000000015</v>
      </c>
      <c r="J32" s="22">
        <f>5872.94-34.9</f>
        <v>5838.04</v>
      </c>
      <c r="K32" s="22"/>
      <c r="L32" s="23"/>
    </row>
    <row r="33" spans="2:12" x14ac:dyDescent="0.25">
      <c r="B33" s="18">
        <v>8</v>
      </c>
      <c r="C33" s="19" t="s">
        <v>64</v>
      </c>
      <c r="D33" s="20" t="s">
        <v>65</v>
      </c>
      <c r="E33" s="21">
        <v>71.97</v>
      </c>
      <c r="F33" s="22">
        <v>71.97</v>
      </c>
      <c r="G33" s="22"/>
      <c r="H33" s="23"/>
      <c r="I33" s="21">
        <f>612.84</f>
        <v>612.84</v>
      </c>
      <c r="J33" s="22">
        <f>581.58-10.02</f>
        <v>571.56000000000006</v>
      </c>
      <c r="K33" s="22"/>
      <c r="L33" s="23"/>
    </row>
    <row r="34" spans="2:12" x14ac:dyDescent="0.25">
      <c r="B34" s="18">
        <v>8</v>
      </c>
      <c r="C34" s="19" t="s">
        <v>66</v>
      </c>
      <c r="D34" s="20" t="s">
        <v>67</v>
      </c>
      <c r="E34" s="21">
        <v>50.1</v>
      </c>
      <c r="F34" s="22"/>
      <c r="G34" s="22"/>
      <c r="H34" s="23"/>
      <c r="I34" s="21">
        <f>515.41-1</f>
        <v>514.41</v>
      </c>
      <c r="J34" s="22">
        <f>565.51-1</f>
        <v>564.51</v>
      </c>
      <c r="K34" s="22">
        <v>1</v>
      </c>
      <c r="L34" s="23">
        <v>1</v>
      </c>
    </row>
    <row r="35" spans="2:12" x14ac:dyDescent="0.25">
      <c r="B35" s="18">
        <v>8</v>
      </c>
      <c r="C35" s="19" t="s">
        <v>68</v>
      </c>
      <c r="D35" s="20" t="s">
        <v>69</v>
      </c>
      <c r="E35" s="21">
        <f>110.4</f>
        <v>110.4</v>
      </c>
      <c r="F35" s="22"/>
      <c r="G35" s="22"/>
      <c r="H35" s="23"/>
      <c r="I35" s="21">
        <f>7091.04-9-11-11-9-9</f>
        <v>7042.04</v>
      </c>
      <c r="J35" s="25">
        <f>6457.34-22.86-9-11-11-9-9</f>
        <v>6385.4800000000005</v>
      </c>
      <c r="K35" s="22">
        <f>9+11+11+9+9</f>
        <v>49</v>
      </c>
      <c r="L35" s="23">
        <f>11+11</f>
        <v>22</v>
      </c>
    </row>
    <row r="36" spans="2:12" x14ac:dyDescent="0.25">
      <c r="B36" s="18">
        <v>8</v>
      </c>
      <c r="C36" s="19" t="s">
        <v>70</v>
      </c>
      <c r="D36" s="20" t="s">
        <v>71</v>
      </c>
      <c r="E36" s="21">
        <f>180.4</f>
        <v>180.4</v>
      </c>
      <c r="F36" s="22"/>
      <c r="G36" s="22"/>
      <c r="H36" s="23"/>
      <c r="I36" s="21">
        <f>1774.49-180.4</f>
        <v>1594.09</v>
      </c>
      <c r="J36" s="22">
        <f>1774.49</f>
        <v>1774.49</v>
      </c>
      <c r="K36" s="22"/>
      <c r="L36" s="23"/>
    </row>
    <row r="37" spans="2:12" x14ac:dyDescent="0.25">
      <c r="B37" s="18">
        <v>8</v>
      </c>
      <c r="C37" s="19" t="s">
        <v>72</v>
      </c>
      <c r="D37" s="20" t="s">
        <v>73</v>
      </c>
      <c r="E37" s="21">
        <f>2412.65</f>
        <v>2412.65</v>
      </c>
      <c r="F37" s="22"/>
      <c r="G37" s="22"/>
      <c r="H37" s="23"/>
      <c r="I37" s="21">
        <v>14627.85</v>
      </c>
      <c r="J37" s="22">
        <v>17040.5</v>
      </c>
      <c r="K37" s="22"/>
      <c r="L37" s="23"/>
    </row>
    <row r="38" spans="2:12" x14ac:dyDescent="0.25">
      <c r="B38" s="18">
        <v>8</v>
      </c>
      <c r="C38" s="19" t="s">
        <v>74</v>
      </c>
      <c r="D38" s="20" t="s">
        <v>75</v>
      </c>
      <c r="E38" s="21">
        <v>81.56</v>
      </c>
      <c r="F38" s="22">
        <v>45.09</v>
      </c>
      <c r="G38" s="22"/>
      <c r="H38" s="23"/>
      <c r="I38" s="21">
        <f>838.55-2-81.56</f>
        <v>754.99</v>
      </c>
      <c r="J38" s="22">
        <f>838.55-2-45.09</f>
        <v>791.45999999999992</v>
      </c>
      <c r="K38" s="22">
        <f>1+1</f>
        <v>2</v>
      </c>
      <c r="L38" s="23">
        <v>2</v>
      </c>
    </row>
    <row r="39" spans="2:12" x14ac:dyDescent="0.25">
      <c r="B39" s="18">
        <v>8</v>
      </c>
      <c r="C39" s="19" t="s">
        <v>76</v>
      </c>
      <c r="D39" s="20" t="s">
        <v>77</v>
      </c>
      <c r="E39" s="21">
        <v>0</v>
      </c>
      <c r="F39" s="22"/>
      <c r="G39" s="22"/>
      <c r="H39" s="23"/>
      <c r="I39" s="21">
        <f>631.7</f>
        <v>631.70000000000005</v>
      </c>
      <c r="J39" s="22">
        <v>563.66</v>
      </c>
      <c r="K39" s="22"/>
      <c r="L39" s="23"/>
    </row>
    <row r="40" spans="2:12" x14ac:dyDescent="0.25">
      <c r="B40" s="18">
        <v>8</v>
      </c>
      <c r="C40" s="19" t="s">
        <v>78</v>
      </c>
      <c r="D40" s="20" t="s">
        <v>79</v>
      </c>
      <c r="E40" s="21">
        <v>13.34</v>
      </c>
      <c r="F40" s="22"/>
      <c r="G40" s="22"/>
      <c r="H40" s="23"/>
      <c r="I40" s="21">
        <v>0</v>
      </c>
      <c r="J40" s="22"/>
      <c r="K40" s="22"/>
      <c r="L40" s="23"/>
    </row>
    <row r="41" spans="2:12" x14ac:dyDescent="0.25">
      <c r="B41" s="18">
        <v>8</v>
      </c>
      <c r="C41" s="19" t="s">
        <v>80</v>
      </c>
      <c r="D41" s="20" t="s">
        <v>81</v>
      </c>
      <c r="E41" s="21">
        <v>0</v>
      </c>
      <c r="F41" s="22"/>
      <c r="G41" s="22"/>
      <c r="H41" s="23"/>
      <c r="I41" s="21">
        <f>810.25</f>
        <v>810.25</v>
      </c>
      <c r="J41" s="22">
        <v>564.66999999999996</v>
      </c>
      <c r="K41" s="22"/>
      <c r="L41" s="23"/>
    </row>
    <row r="42" spans="2:12" x14ac:dyDescent="0.25">
      <c r="B42" s="18">
        <v>8</v>
      </c>
      <c r="C42" s="19" t="s">
        <v>82</v>
      </c>
      <c r="D42" s="20" t="s">
        <v>83</v>
      </c>
      <c r="E42" s="21">
        <v>93.07</v>
      </c>
      <c r="F42" s="22">
        <v>13.34</v>
      </c>
      <c r="G42" s="22"/>
      <c r="H42" s="23"/>
      <c r="I42" s="21">
        <f>1879.96-93.07-4.5</f>
        <v>1782.39</v>
      </c>
      <c r="J42" s="22">
        <f>1848.94-12.8-4.5</f>
        <v>1831.64</v>
      </c>
      <c r="K42" s="22"/>
      <c r="L42" s="23"/>
    </row>
    <row r="43" spans="2:12" x14ac:dyDescent="0.25">
      <c r="B43" s="18">
        <v>8</v>
      </c>
      <c r="C43" s="19" t="s">
        <v>84</v>
      </c>
      <c r="D43" s="20" t="s">
        <v>85</v>
      </c>
      <c r="E43" s="21">
        <v>45.09</v>
      </c>
      <c r="F43" s="22"/>
      <c r="G43" s="22"/>
      <c r="H43" s="23"/>
      <c r="I43" s="21">
        <f>650.87-16.8</f>
        <v>634.07000000000005</v>
      </c>
      <c r="J43" s="22">
        <f>699.28-4.8-255.96</f>
        <v>438.52</v>
      </c>
      <c r="K43" s="22">
        <f>12+4.8</f>
        <v>16.8</v>
      </c>
      <c r="L43" s="23">
        <v>4.8</v>
      </c>
    </row>
    <row r="44" spans="2:12" x14ac:dyDescent="0.25">
      <c r="B44" s="18">
        <v>8</v>
      </c>
      <c r="C44" s="19" t="s">
        <v>86</v>
      </c>
      <c r="D44" s="20" t="s">
        <v>87</v>
      </c>
      <c r="E44" s="21">
        <v>172.38</v>
      </c>
      <c r="F44" s="22"/>
      <c r="G44" s="22"/>
      <c r="H44" s="23"/>
      <c r="I44" s="21">
        <v>2536.58</v>
      </c>
      <c r="J44" s="22">
        <v>2419.62</v>
      </c>
      <c r="K44" s="22"/>
      <c r="L44" s="23"/>
    </row>
    <row r="45" spans="2:12" x14ac:dyDescent="0.25">
      <c r="B45" s="18">
        <v>8</v>
      </c>
      <c r="C45" s="19" t="s">
        <v>88</v>
      </c>
      <c r="D45" s="20" t="s">
        <v>89</v>
      </c>
      <c r="E45" s="21">
        <f>7.34+36.47</f>
        <v>43.81</v>
      </c>
      <c r="F45" s="22">
        <v>7.34</v>
      </c>
      <c r="G45" s="22"/>
      <c r="H45" s="23"/>
      <c r="I45" s="21">
        <f>45.09+58.32+58.32+71.7+127.68+131.66+13.34</f>
        <v>506.10999999999996</v>
      </c>
      <c r="J45" s="22">
        <f>36.47+45.09+58.32+45.09+58.32+13.34</f>
        <v>256.63</v>
      </c>
      <c r="K45" s="22">
        <v>3</v>
      </c>
      <c r="L45" s="23">
        <v>3</v>
      </c>
    </row>
    <row r="46" spans="2:12" x14ac:dyDescent="0.25">
      <c r="B46" s="18">
        <v>8</v>
      </c>
      <c r="C46" s="19" t="s">
        <v>90</v>
      </c>
      <c r="D46" s="20" t="s">
        <v>91</v>
      </c>
      <c r="E46" s="21">
        <f>356.82+144.64+92.8+71.7+216+188.34+136.2+92.8</f>
        <v>1299.3</v>
      </c>
      <c r="F46" s="22">
        <f>303.36</f>
        <v>303.36</v>
      </c>
      <c r="G46" s="26"/>
      <c r="H46" s="23"/>
      <c r="I46" s="21">
        <v>7219.12</v>
      </c>
      <c r="J46" s="22">
        <v>6554.18</v>
      </c>
      <c r="K46" s="26"/>
      <c r="L46" s="23"/>
    </row>
    <row r="47" spans="2:12" x14ac:dyDescent="0.25">
      <c r="B47" s="18">
        <v>8</v>
      </c>
      <c r="C47" s="19" t="s">
        <v>92</v>
      </c>
      <c r="D47" s="20" t="s">
        <v>93</v>
      </c>
      <c r="E47" s="21">
        <f>58.32+355.41+114.5</f>
        <v>528.23</v>
      </c>
      <c r="F47" s="22"/>
      <c r="G47" s="22"/>
      <c r="H47" s="23"/>
      <c r="I47" s="21">
        <f>1208.12+2129.2+719.46-57.6-528.23</f>
        <v>3470.95</v>
      </c>
      <c r="J47" s="22"/>
      <c r="K47" s="22">
        <f>6+36+15.6</f>
        <v>57.6</v>
      </c>
      <c r="L47" s="23"/>
    </row>
    <row r="48" spans="2:12" x14ac:dyDescent="0.25">
      <c r="B48" s="18">
        <v>8</v>
      </c>
      <c r="C48" s="19" t="s">
        <v>94</v>
      </c>
      <c r="D48" s="20" t="s">
        <v>95</v>
      </c>
      <c r="E48" s="21">
        <f>93.42-9</f>
        <v>84.42</v>
      </c>
      <c r="F48" s="22">
        <v>0</v>
      </c>
      <c r="G48" s="22">
        <v>9</v>
      </c>
      <c r="H48" s="23">
        <v>9</v>
      </c>
      <c r="I48" s="21">
        <f>967.9-5.6-8.5-8.5-19.2-27.7-37.4-6</f>
        <v>854.99999999999989</v>
      </c>
      <c r="J48" s="22"/>
      <c r="K48" s="22">
        <f>5.6+8.5+8.5+19.2+27.7+37.4+6</f>
        <v>112.9</v>
      </c>
      <c r="L48" s="23">
        <f>5.6+8.5+27.7+37.4</f>
        <v>79.199999999999989</v>
      </c>
    </row>
    <row r="49" spans="2:12" x14ac:dyDescent="0.25">
      <c r="B49" s="18">
        <v>8</v>
      </c>
      <c r="C49" s="19" t="s">
        <v>96</v>
      </c>
      <c r="D49" s="20" t="s">
        <v>97</v>
      </c>
      <c r="E49" s="21">
        <v>353.78</v>
      </c>
      <c r="F49" s="22"/>
      <c r="G49" s="22"/>
      <c r="H49" s="23"/>
      <c r="I49" s="21">
        <f>4653.91</f>
        <v>4653.91</v>
      </c>
      <c r="J49" s="22">
        <f>3885.88-3.59</f>
        <v>3882.29</v>
      </c>
      <c r="K49" s="22"/>
      <c r="L49" s="23"/>
    </row>
    <row r="50" spans="2:12" x14ac:dyDescent="0.25">
      <c r="B50" s="18">
        <v>8</v>
      </c>
      <c r="C50" s="19" t="s">
        <v>98</v>
      </c>
      <c r="D50" s="20" t="s">
        <v>99</v>
      </c>
      <c r="E50" s="21">
        <f>58.32+131.66</f>
        <v>189.98</v>
      </c>
      <c r="F50" s="22">
        <v>58.32</v>
      </c>
      <c r="G50" s="22"/>
      <c r="H50" s="23"/>
      <c r="I50" s="21">
        <f>1808.6-189.98</f>
        <v>1618.62</v>
      </c>
      <c r="J50" s="22">
        <f>1808.6-58.32</f>
        <v>1750.28</v>
      </c>
      <c r="K50" s="22"/>
      <c r="L50" s="23"/>
    </row>
    <row r="51" spans="2:12" x14ac:dyDescent="0.25">
      <c r="B51" s="18">
        <v>8</v>
      </c>
      <c r="C51" s="19" t="s">
        <v>100</v>
      </c>
      <c r="D51" s="20" t="s">
        <v>101</v>
      </c>
      <c r="E51" s="21">
        <v>119.08</v>
      </c>
      <c r="F51" s="22">
        <v>119.08</v>
      </c>
      <c r="G51" s="22"/>
      <c r="H51" s="23"/>
      <c r="I51" s="21">
        <f>3817.76-10.5</f>
        <v>3807.26</v>
      </c>
      <c r="J51" s="22">
        <f>3702.48</f>
        <v>3702.48</v>
      </c>
      <c r="K51" s="22">
        <v>10.5</v>
      </c>
      <c r="L51" s="23"/>
    </row>
    <row r="52" spans="2:12" x14ac:dyDescent="0.25">
      <c r="B52" s="18">
        <v>8</v>
      </c>
      <c r="C52" s="19" t="s">
        <v>102</v>
      </c>
      <c r="D52" s="20" t="s">
        <v>103</v>
      </c>
      <c r="E52" s="21">
        <v>0</v>
      </c>
      <c r="F52" s="22"/>
      <c r="G52" s="22"/>
      <c r="H52" s="23"/>
      <c r="I52" s="21">
        <v>0</v>
      </c>
      <c r="J52" s="22"/>
      <c r="K52" s="22"/>
      <c r="L52" s="23"/>
    </row>
    <row r="53" spans="2:12" x14ac:dyDescent="0.25">
      <c r="B53" s="18">
        <v>8</v>
      </c>
      <c r="C53" s="19" t="s">
        <v>104</v>
      </c>
      <c r="D53" s="20" t="s">
        <v>105</v>
      </c>
      <c r="E53" s="21">
        <v>0</v>
      </c>
      <c r="F53" s="22"/>
      <c r="G53" s="22"/>
      <c r="H53" s="23"/>
      <c r="I53" s="21">
        <v>1870.16</v>
      </c>
      <c r="J53" s="22">
        <f>1544.56</f>
        <v>1544.56</v>
      </c>
      <c r="K53" s="22"/>
      <c r="L53" s="23"/>
    </row>
    <row r="54" spans="2:12" x14ac:dyDescent="0.25">
      <c r="B54" s="18">
        <v>8</v>
      </c>
      <c r="C54" s="19" t="s">
        <v>106</v>
      </c>
      <c r="D54" s="20" t="s">
        <v>107</v>
      </c>
      <c r="E54" s="21">
        <v>575.1</v>
      </c>
      <c r="F54" s="22"/>
      <c r="G54" s="22"/>
      <c r="H54" s="23"/>
      <c r="I54" s="21">
        <v>6301.11</v>
      </c>
      <c r="J54" s="22">
        <v>6876.21</v>
      </c>
      <c r="K54" s="22"/>
      <c r="L54" s="23"/>
    </row>
    <row r="55" spans="2:12" x14ac:dyDescent="0.25">
      <c r="B55" s="18">
        <v>8</v>
      </c>
      <c r="C55" s="19" t="s">
        <v>108</v>
      </c>
      <c r="D55" s="20" t="s">
        <v>109</v>
      </c>
      <c r="E55" s="21">
        <f>84.42+23.04</f>
        <v>107.46000000000001</v>
      </c>
      <c r="F55" s="22">
        <v>84.42</v>
      </c>
      <c r="G55" s="22"/>
      <c r="H55" s="23"/>
      <c r="I55" s="21">
        <v>84.72</v>
      </c>
      <c r="J55" s="22">
        <f>23.04+53.46+31.26</f>
        <v>107.76</v>
      </c>
      <c r="K55" s="22"/>
      <c r="L55" s="23"/>
    </row>
    <row r="56" spans="2:12" x14ac:dyDescent="0.25">
      <c r="B56" s="18">
        <v>8</v>
      </c>
      <c r="C56" s="19" t="s">
        <v>110</v>
      </c>
      <c r="D56" s="20" t="s">
        <v>111</v>
      </c>
      <c r="E56" s="21">
        <v>0</v>
      </c>
      <c r="F56" s="22"/>
      <c r="G56" s="22"/>
      <c r="H56" s="23"/>
      <c r="I56" s="21">
        <f>696.09+40.08+13.34+45.09</f>
        <v>794.60000000000014</v>
      </c>
      <c r="J56" s="22">
        <f>304.34+45.09+40.08</f>
        <v>389.50999999999993</v>
      </c>
      <c r="K56" s="22">
        <f>7+12</f>
        <v>19</v>
      </c>
      <c r="L56" s="23">
        <v>7</v>
      </c>
    </row>
    <row r="57" spans="2:12" x14ac:dyDescent="0.25">
      <c r="B57" s="18">
        <v>8</v>
      </c>
      <c r="C57" s="19" t="s">
        <v>112</v>
      </c>
      <c r="D57" s="20" t="s">
        <v>113</v>
      </c>
      <c r="E57" s="21">
        <v>31.26</v>
      </c>
      <c r="F57" s="22"/>
      <c r="G57" s="22"/>
      <c r="H57" s="23"/>
      <c r="I57" s="21">
        <f>395.55-3-6</f>
        <v>386.55</v>
      </c>
      <c r="J57" s="22">
        <v>417.81</v>
      </c>
      <c r="K57" s="22">
        <f>3+6</f>
        <v>9</v>
      </c>
      <c r="L57" s="23"/>
    </row>
    <row r="58" spans="2:12" x14ac:dyDescent="0.25">
      <c r="B58" s="18">
        <v>8</v>
      </c>
      <c r="C58" s="19" t="s">
        <v>114</v>
      </c>
      <c r="D58" s="20" t="s">
        <v>115</v>
      </c>
      <c r="E58" s="21">
        <v>0</v>
      </c>
      <c r="F58" s="22"/>
      <c r="G58" s="22"/>
      <c r="H58" s="23"/>
      <c r="I58" s="21">
        <f>906.18-3.6</f>
        <v>902.57999999999993</v>
      </c>
      <c r="J58" s="22">
        <f>1316.85-3.6-169.1-169.2-6.47</f>
        <v>968.48</v>
      </c>
      <c r="K58" s="22">
        <v>3.6</v>
      </c>
      <c r="L58" s="23">
        <v>3.6</v>
      </c>
    </row>
    <row r="59" spans="2:12" x14ac:dyDescent="0.25">
      <c r="B59" s="18">
        <v>8</v>
      </c>
      <c r="C59" s="19" t="s">
        <v>116</v>
      </c>
      <c r="D59" s="20" t="s">
        <v>117</v>
      </c>
      <c r="E59" s="21">
        <v>40.08</v>
      </c>
      <c r="F59" s="22">
        <v>40.08</v>
      </c>
      <c r="G59" s="22"/>
      <c r="H59" s="23"/>
      <c r="I59" s="21">
        <f>772.27-1.2-8-3</f>
        <v>760.06999999999994</v>
      </c>
      <c r="J59" s="22">
        <f>114.5+79.73+56.4+208.32+156.45+92.8+45.09</f>
        <v>753.29000000000008</v>
      </c>
      <c r="K59" s="22">
        <f>1.2+8+3</f>
        <v>12.2</v>
      </c>
      <c r="L59" s="23"/>
    </row>
    <row r="60" spans="2:12" x14ac:dyDescent="0.25">
      <c r="B60" s="18">
        <v>8</v>
      </c>
      <c r="C60" s="19" t="s">
        <v>118</v>
      </c>
      <c r="D60" s="20" t="s">
        <v>119</v>
      </c>
      <c r="E60" s="21">
        <v>0</v>
      </c>
      <c r="F60" s="22"/>
      <c r="G60" s="22"/>
      <c r="H60" s="23"/>
      <c r="I60" s="21">
        <v>2845.28</v>
      </c>
      <c r="J60" s="22">
        <f>3943-5.47-262.36-409.41-17.64-176.8-198.76-114.45</f>
        <v>2758.1100000000006</v>
      </c>
      <c r="K60" s="22"/>
      <c r="L60" s="23"/>
    </row>
    <row r="61" spans="2:12" x14ac:dyDescent="0.25">
      <c r="B61" s="18">
        <v>8</v>
      </c>
      <c r="C61" s="19" t="s">
        <v>120</v>
      </c>
      <c r="D61" s="20" t="s">
        <v>121</v>
      </c>
      <c r="E61" s="21">
        <v>0</v>
      </c>
      <c r="F61" s="22"/>
      <c r="G61" s="22"/>
      <c r="H61" s="23"/>
      <c r="I61" s="21">
        <f>435.84-1.5-2</f>
        <v>432.34</v>
      </c>
      <c r="J61" s="22">
        <f>473.38-1.5-37.54-2</f>
        <v>432.34</v>
      </c>
      <c r="K61" s="22">
        <f>1.5+2</f>
        <v>3.5</v>
      </c>
      <c r="L61" s="23">
        <f>1.5+2</f>
        <v>3.5</v>
      </c>
    </row>
    <row r="62" spans="2:12" x14ac:dyDescent="0.25">
      <c r="B62" s="18">
        <v>8</v>
      </c>
      <c r="C62" s="19" t="s">
        <v>122</v>
      </c>
      <c r="D62" s="20" t="s">
        <v>123</v>
      </c>
      <c r="E62" s="21">
        <v>232.65</v>
      </c>
      <c r="F62" s="22"/>
      <c r="G62" s="22"/>
      <c r="H62" s="23"/>
      <c r="I62" s="21">
        <v>2519.75</v>
      </c>
      <c r="J62" s="22">
        <f>2752.4-92.4-35.9</f>
        <v>2624.1</v>
      </c>
      <c r="K62" s="22"/>
      <c r="L62" s="23"/>
    </row>
    <row r="63" spans="2:12" x14ac:dyDescent="0.25">
      <c r="B63" s="18">
        <v>8</v>
      </c>
      <c r="C63" s="19" t="s">
        <v>124</v>
      </c>
      <c r="D63" s="20" t="s">
        <v>125</v>
      </c>
      <c r="E63" s="21">
        <v>0</v>
      </c>
      <c r="F63" s="22"/>
      <c r="G63" s="22"/>
      <c r="H63" s="23"/>
      <c r="I63" s="21">
        <f>1688.65-6</f>
        <v>1682.65</v>
      </c>
      <c r="J63" s="22">
        <v>758.24</v>
      </c>
      <c r="K63" s="22">
        <v>6</v>
      </c>
      <c r="L63" s="23"/>
    </row>
    <row r="64" spans="2:12" x14ac:dyDescent="0.25">
      <c r="B64" s="18">
        <v>8</v>
      </c>
      <c r="C64" s="19" t="s">
        <v>126</v>
      </c>
      <c r="D64" s="20" t="s">
        <v>127</v>
      </c>
      <c r="E64" s="21">
        <f>58.32+45.09</f>
        <v>103.41</v>
      </c>
      <c r="F64" s="22"/>
      <c r="G64" s="22"/>
      <c r="H64" s="23"/>
      <c r="I64" s="21">
        <f>429.75-8.5-1.5-1-2+531.94</f>
        <v>948.69</v>
      </c>
      <c r="J64" s="22">
        <f>68.04+9.2+84.42-9.2</f>
        <v>152.46000000000004</v>
      </c>
      <c r="K64" s="22">
        <f>1.5+8.5+1+2</f>
        <v>13</v>
      </c>
      <c r="L64" s="23"/>
    </row>
    <row r="65" spans="2:12" x14ac:dyDescent="0.25">
      <c r="B65" s="18">
        <v>8</v>
      </c>
      <c r="C65" s="19" t="s">
        <v>128</v>
      </c>
      <c r="D65" s="20" t="s">
        <v>129</v>
      </c>
      <c r="E65" s="21">
        <v>36.47</v>
      </c>
      <c r="F65" s="22"/>
      <c r="G65" s="22"/>
      <c r="H65" s="23"/>
      <c r="I65" s="21">
        <f>430.08-3-3-1</f>
        <v>423.08</v>
      </c>
      <c r="J65" s="22"/>
      <c r="K65" s="22">
        <f>3+3+1</f>
        <v>7</v>
      </c>
      <c r="L65" s="23"/>
    </row>
    <row r="66" spans="2:12" x14ac:dyDescent="0.25">
      <c r="B66" s="18">
        <v>8</v>
      </c>
      <c r="C66" s="19" t="s">
        <v>130</v>
      </c>
      <c r="D66" s="20" t="s">
        <v>131</v>
      </c>
      <c r="E66" s="21">
        <v>164.65</v>
      </c>
      <c r="F66" s="22"/>
      <c r="G66" s="22"/>
      <c r="H66" s="23"/>
      <c r="I66" s="21">
        <v>859.09</v>
      </c>
      <c r="J66" s="22">
        <f>774.74</f>
        <v>774.74</v>
      </c>
      <c r="K66" s="22"/>
      <c r="L66" s="23"/>
    </row>
    <row r="67" spans="2:12" x14ac:dyDescent="0.25">
      <c r="B67" s="18">
        <v>8</v>
      </c>
      <c r="C67" s="19" t="s">
        <v>132</v>
      </c>
      <c r="D67" s="20" t="s">
        <v>133</v>
      </c>
      <c r="E67" s="21">
        <v>31.26</v>
      </c>
      <c r="F67" s="22">
        <v>31.26</v>
      </c>
      <c r="G67" s="22">
        <f>13+24.5+8</f>
        <v>45.5</v>
      </c>
      <c r="H67" s="23">
        <f>13+24.5</f>
        <v>37.5</v>
      </c>
      <c r="I67" s="21">
        <f>191.08-4-8.5-6</f>
        <v>172.58</v>
      </c>
      <c r="J67" s="22">
        <f>31.26+7.34+58.32+15.03+35.07+53.46</f>
        <v>200.48000000000002</v>
      </c>
      <c r="K67" s="22">
        <f>4+8.5+6</f>
        <v>18.5</v>
      </c>
      <c r="L67" s="22">
        <f>8+4+8.5+6</f>
        <v>26.5</v>
      </c>
    </row>
    <row r="68" spans="2:12" x14ac:dyDescent="0.25">
      <c r="B68" s="18">
        <v>8</v>
      </c>
      <c r="C68" s="19" t="s">
        <v>134</v>
      </c>
      <c r="D68" s="20" t="s">
        <v>135</v>
      </c>
      <c r="E68" s="21">
        <v>0</v>
      </c>
      <c r="F68" s="22"/>
      <c r="G68" s="22"/>
      <c r="H68" s="23"/>
      <c r="I68" s="21">
        <v>0</v>
      </c>
      <c r="J68" s="22"/>
      <c r="K68" s="22"/>
      <c r="L68" s="23"/>
    </row>
    <row r="69" spans="2:12" x14ac:dyDescent="0.25">
      <c r="B69" s="18">
        <v>8</v>
      </c>
      <c r="C69" s="19" t="s">
        <v>136</v>
      </c>
      <c r="D69" s="20" t="s">
        <v>137</v>
      </c>
      <c r="E69" s="21">
        <v>441.94</v>
      </c>
      <c r="F69" s="22"/>
      <c r="G69" s="22"/>
      <c r="H69" s="23"/>
      <c r="I69" s="21">
        <v>3019.49</v>
      </c>
      <c r="J69" s="22">
        <v>3411.33</v>
      </c>
      <c r="K69" s="22"/>
      <c r="L69" s="23"/>
    </row>
    <row r="70" spans="2:12" x14ac:dyDescent="0.25">
      <c r="B70" s="18">
        <v>8</v>
      </c>
      <c r="C70" s="19" t="s">
        <v>138</v>
      </c>
      <c r="D70" s="20" t="s">
        <v>139</v>
      </c>
      <c r="E70" s="21">
        <v>3017.96</v>
      </c>
      <c r="F70" s="22">
        <f>481.06+232.65</f>
        <v>713.71</v>
      </c>
      <c r="G70" s="22"/>
      <c r="H70" s="23"/>
      <c r="I70" s="21">
        <v>38809.17</v>
      </c>
      <c r="J70" s="22">
        <v>41194.29</v>
      </c>
      <c r="K70" s="22"/>
      <c r="L70" s="23"/>
    </row>
    <row r="71" spans="2:12" x14ac:dyDescent="0.25">
      <c r="B71" s="18">
        <v>8</v>
      </c>
      <c r="C71" s="19" t="s">
        <v>140</v>
      </c>
      <c r="D71" s="20" t="s">
        <v>141</v>
      </c>
      <c r="E71" s="21">
        <f>588.03+695.4+605.76+266.6</f>
        <v>2155.79</v>
      </c>
      <c r="F71" s="22"/>
      <c r="G71" s="22"/>
      <c r="H71" s="23"/>
      <c r="I71" s="21">
        <v>19636.939999999999</v>
      </c>
      <c r="J71" s="22">
        <f>19293.12-32.31-19.95-124.7</f>
        <v>19116.159999999996</v>
      </c>
      <c r="K71" s="22"/>
      <c r="L71" s="23"/>
    </row>
    <row r="72" spans="2:12" x14ac:dyDescent="0.25">
      <c r="B72" s="18">
        <v>8</v>
      </c>
      <c r="C72" s="19" t="s">
        <v>142</v>
      </c>
      <c r="D72" s="20" t="s">
        <v>143</v>
      </c>
      <c r="E72" s="21">
        <v>0</v>
      </c>
      <c r="F72" s="22"/>
      <c r="G72" s="22"/>
      <c r="H72" s="23"/>
      <c r="I72" s="21">
        <f>445.73+380.31</f>
        <v>826.04</v>
      </c>
      <c r="J72" s="22">
        <f>871.13-207.82</f>
        <v>663.31</v>
      </c>
      <c r="K72" s="22"/>
      <c r="L72" s="23"/>
    </row>
    <row r="73" spans="2:12" x14ac:dyDescent="0.25">
      <c r="B73" s="18">
        <v>8</v>
      </c>
      <c r="C73" s="19" t="s">
        <v>144</v>
      </c>
      <c r="D73" s="20" t="s">
        <v>145</v>
      </c>
      <c r="E73" s="21">
        <v>0</v>
      </c>
      <c r="F73" s="22"/>
      <c r="G73" s="22">
        <v>63</v>
      </c>
      <c r="H73" s="23"/>
      <c r="I73" s="21">
        <f>1367.78-21</f>
        <v>1346.78</v>
      </c>
      <c r="J73" s="22"/>
      <c r="K73" s="22">
        <f>21</f>
        <v>21</v>
      </c>
      <c r="L73" s="23"/>
    </row>
    <row r="74" spans="2:12" x14ac:dyDescent="0.25">
      <c r="B74" s="18">
        <v>8</v>
      </c>
      <c r="C74" s="19" t="s">
        <v>146</v>
      </c>
      <c r="D74" s="20" t="s">
        <v>147</v>
      </c>
      <c r="E74" s="21">
        <v>0</v>
      </c>
      <c r="F74" s="22"/>
      <c r="G74" s="22"/>
      <c r="H74" s="23"/>
      <c r="I74" s="21">
        <v>0</v>
      </c>
      <c r="J74" s="22"/>
      <c r="K74" s="22"/>
      <c r="L74" s="23"/>
    </row>
    <row r="75" spans="2:12" x14ac:dyDescent="0.25">
      <c r="B75" s="18">
        <v>8</v>
      </c>
      <c r="C75" s="19" t="s">
        <v>148</v>
      </c>
      <c r="D75" s="20" t="s">
        <v>149</v>
      </c>
      <c r="E75" s="21">
        <v>669.07</v>
      </c>
      <c r="F75" s="22">
        <v>248.86</v>
      </c>
      <c r="G75" s="22"/>
      <c r="H75" s="23"/>
      <c r="I75" s="21">
        <f>6595.76</f>
        <v>6595.76</v>
      </c>
      <c r="J75" s="22">
        <v>6866.52</v>
      </c>
      <c r="K75" s="22"/>
      <c r="L75" s="23"/>
    </row>
    <row r="76" spans="2:12" x14ac:dyDescent="0.25">
      <c r="B76" s="18">
        <v>8</v>
      </c>
      <c r="C76" s="19" t="s">
        <v>150</v>
      </c>
      <c r="D76" s="20" t="s">
        <v>151</v>
      </c>
      <c r="E76" s="21">
        <f>5358.64</f>
        <v>5358.64</v>
      </c>
      <c r="F76" s="22"/>
      <c r="G76" s="22"/>
      <c r="H76" s="23"/>
      <c r="I76" s="21">
        <v>39612.400000000001</v>
      </c>
      <c r="J76" s="22">
        <f>43948.67-977.2</f>
        <v>42971.47</v>
      </c>
      <c r="K76" s="22"/>
      <c r="L76" s="23"/>
    </row>
    <row r="77" spans="2:12" x14ac:dyDescent="0.25">
      <c r="B77" s="18">
        <v>8</v>
      </c>
      <c r="C77" s="19" t="s">
        <v>152</v>
      </c>
      <c r="D77" s="20" t="s">
        <v>153</v>
      </c>
      <c r="E77" s="21">
        <v>0</v>
      </c>
      <c r="F77" s="24"/>
      <c r="G77" s="22"/>
      <c r="H77" s="23"/>
      <c r="I77" s="21">
        <f>1102.36-27.5-27.5-3</f>
        <v>1044.3599999999999</v>
      </c>
      <c r="J77" s="24">
        <f>1177.16-12.5-4.64-27.5</f>
        <v>1132.52</v>
      </c>
      <c r="K77" s="22">
        <f>27.5+27.5+3</f>
        <v>58</v>
      </c>
      <c r="L77" s="23">
        <f>27.5</f>
        <v>27.5</v>
      </c>
    </row>
    <row r="78" spans="2:12" x14ac:dyDescent="0.25">
      <c r="B78" s="18">
        <v>8</v>
      </c>
      <c r="C78" s="19" t="s">
        <v>154</v>
      </c>
      <c r="D78" s="20" t="s">
        <v>155</v>
      </c>
      <c r="E78" s="21">
        <f>68.04+68.04+79.73</f>
        <v>215.81</v>
      </c>
      <c r="F78" s="22">
        <f>68.04+68.04</f>
        <v>136.08000000000001</v>
      </c>
      <c r="G78" s="22">
        <v>14</v>
      </c>
      <c r="H78" s="23"/>
      <c r="I78" s="21">
        <f>1760.82-13.5</f>
        <v>1747.32</v>
      </c>
      <c r="J78" s="22">
        <f>138.05+380.54+816.04+58.32+319.6+114.5</f>
        <v>1827.0500000000002</v>
      </c>
      <c r="K78" s="22">
        <v>13.5</v>
      </c>
      <c r="L78" s="23"/>
    </row>
    <row r="79" spans="2:12" x14ac:dyDescent="0.25">
      <c r="B79" s="18">
        <v>8</v>
      </c>
      <c r="C79" s="19" t="s">
        <v>156</v>
      </c>
      <c r="D79" s="20" t="s">
        <v>157</v>
      </c>
      <c r="E79" s="21">
        <v>103.56</v>
      </c>
      <c r="F79" s="22"/>
      <c r="G79" s="22"/>
      <c r="H79" s="23"/>
      <c r="I79" s="21">
        <v>12105.17</v>
      </c>
      <c r="J79" s="22">
        <f>10542.96-40.07</f>
        <v>10502.89</v>
      </c>
      <c r="K79" s="22"/>
      <c r="L79" s="23"/>
    </row>
    <row r="80" spans="2:12" x14ac:dyDescent="0.25">
      <c r="B80" s="18">
        <v>8</v>
      </c>
      <c r="C80" s="19" t="s">
        <v>158</v>
      </c>
      <c r="D80" s="20" t="s">
        <v>159</v>
      </c>
      <c r="E80" s="21">
        <v>0</v>
      </c>
      <c r="F80" s="22"/>
      <c r="G80" s="22"/>
      <c r="H80" s="23"/>
      <c r="I80" s="21">
        <f>536.93-8</f>
        <v>528.92999999999995</v>
      </c>
      <c r="J80" s="22">
        <f>460.45-8</f>
        <v>452.45</v>
      </c>
      <c r="K80" s="22">
        <v>8</v>
      </c>
      <c r="L80" s="23">
        <v>8</v>
      </c>
    </row>
    <row r="81" spans="2:12" x14ac:dyDescent="0.25">
      <c r="B81" s="18">
        <v>8</v>
      </c>
      <c r="C81" s="19" t="s">
        <v>160</v>
      </c>
      <c r="D81" s="20" t="s">
        <v>161</v>
      </c>
      <c r="E81" s="21">
        <v>128.28</v>
      </c>
      <c r="F81" s="22">
        <v>31.26</v>
      </c>
      <c r="G81" s="22"/>
      <c r="H81" s="23"/>
      <c r="I81" s="21">
        <v>1363.81</v>
      </c>
      <c r="J81" s="22">
        <f>1228.18</f>
        <v>1228.18</v>
      </c>
      <c r="K81" s="22"/>
      <c r="L81" s="23"/>
    </row>
    <row r="82" spans="2:12" x14ac:dyDescent="0.25">
      <c r="B82" s="18">
        <v>8</v>
      </c>
      <c r="C82" s="19" t="s">
        <v>162</v>
      </c>
      <c r="D82" s="20" t="s">
        <v>163</v>
      </c>
      <c r="E82" s="21">
        <f>61.8+69.8+42+63.18+101.64+50.1+63.18</f>
        <v>451.70000000000005</v>
      </c>
      <c r="F82" s="22">
        <f>142.92+55.8</f>
        <v>198.71999999999997</v>
      </c>
      <c r="G82" s="22"/>
      <c r="H82" s="23"/>
      <c r="I82" s="21">
        <f>1259.18-42</f>
        <v>1217.18</v>
      </c>
      <c r="J82" s="22">
        <f>63.18+58.32+88.16+63.18+101.64+109.92+105.8+101.64+79.73+61.8</f>
        <v>833.36999999999989</v>
      </c>
      <c r="K82" s="22">
        <v>42</v>
      </c>
      <c r="L82" s="23"/>
    </row>
    <row r="83" spans="2:12" x14ac:dyDescent="0.25">
      <c r="B83" s="18">
        <v>8</v>
      </c>
      <c r="C83" s="19" t="s">
        <v>164</v>
      </c>
      <c r="D83" s="20" t="s">
        <v>165</v>
      </c>
      <c r="E83" s="21">
        <v>206.55</v>
      </c>
      <c r="F83" s="22">
        <f>210.75-4.2</f>
        <v>206.55</v>
      </c>
      <c r="G83" s="22"/>
      <c r="H83" s="23"/>
      <c r="I83" s="21">
        <f>589.11-138.5</f>
        <v>450.61</v>
      </c>
      <c r="J83" s="22">
        <f>216</f>
        <v>216</v>
      </c>
      <c r="K83" s="22">
        <f>5.5+9+12+29+44.1+38.9</f>
        <v>138.5</v>
      </c>
      <c r="L83" s="23">
        <f>5.5+9+29+44.1+38.9</f>
        <v>126.5</v>
      </c>
    </row>
    <row r="84" spans="2:12" x14ac:dyDescent="0.25">
      <c r="B84" s="18">
        <v>8</v>
      </c>
      <c r="C84" s="19" t="s">
        <v>166</v>
      </c>
      <c r="D84" s="20" t="s">
        <v>167</v>
      </c>
      <c r="E84" s="21">
        <v>4565.2</v>
      </c>
      <c r="F84" s="22">
        <v>3154.33</v>
      </c>
      <c r="G84" s="22"/>
      <c r="H84" s="23"/>
      <c r="I84" s="21">
        <v>19957.830000000002</v>
      </c>
      <c r="J84" s="22">
        <v>19773.14</v>
      </c>
      <c r="K84" s="22"/>
      <c r="L84" s="23"/>
    </row>
    <row r="85" spans="2:12" x14ac:dyDescent="0.25">
      <c r="B85" s="18">
        <v>8</v>
      </c>
      <c r="C85" s="19" t="s">
        <v>168</v>
      </c>
      <c r="D85" s="20" t="s">
        <v>169</v>
      </c>
      <c r="E85" s="21">
        <v>0</v>
      </c>
      <c r="F85" s="22"/>
      <c r="G85" s="22"/>
      <c r="H85" s="23"/>
      <c r="I85" s="21">
        <v>0</v>
      </c>
      <c r="J85" s="22"/>
      <c r="K85" s="22"/>
      <c r="L85" s="23"/>
    </row>
    <row r="86" spans="2:12" x14ac:dyDescent="0.25">
      <c r="B86" s="18">
        <v>8</v>
      </c>
      <c r="C86" s="19" t="s">
        <v>170</v>
      </c>
      <c r="D86" s="20" t="s">
        <v>171</v>
      </c>
      <c r="E86" s="21">
        <v>0</v>
      </c>
      <c r="F86" s="22"/>
      <c r="G86" s="22"/>
      <c r="H86" s="23"/>
      <c r="I86" s="21">
        <v>0</v>
      </c>
      <c r="J86" s="22"/>
      <c r="K86" s="22"/>
      <c r="L86" s="23"/>
    </row>
    <row r="87" spans="2:12" x14ac:dyDescent="0.25">
      <c r="B87" s="18">
        <v>8</v>
      </c>
      <c r="C87" s="19" t="s">
        <v>172</v>
      </c>
      <c r="D87" s="20" t="s">
        <v>173</v>
      </c>
      <c r="E87" s="21">
        <v>0</v>
      </c>
      <c r="F87" s="22"/>
      <c r="G87" s="22"/>
      <c r="H87" s="23"/>
      <c r="I87" s="21">
        <f>2570.11-12-15.6-6-1</f>
        <v>2535.5100000000002</v>
      </c>
      <c r="J87" s="22">
        <f>2569.11-12-6-15.6</f>
        <v>2535.5100000000002</v>
      </c>
      <c r="K87" s="22">
        <f>12+15.6+6+1</f>
        <v>34.6</v>
      </c>
      <c r="L87" s="23">
        <f>12+6+15.6</f>
        <v>33.6</v>
      </c>
    </row>
    <row r="88" spans="2:12" x14ac:dyDescent="0.25">
      <c r="B88" s="18">
        <v>8</v>
      </c>
      <c r="C88" s="19" t="s">
        <v>174</v>
      </c>
      <c r="D88" s="20" t="s">
        <v>175</v>
      </c>
      <c r="E88" s="21">
        <v>18.510000000000002</v>
      </c>
      <c r="F88" s="22"/>
      <c r="G88" s="22"/>
      <c r="H88" s="23"/>
      <c r="I88" s="21">
        <v>781.79</v>
      </c>
      <c r="J88" s="22">
        <f>813.65-13.35</f>
        <v>800.3</v>
      </c>
      <c r="K88" s="22"/>
      <c r="L88" s="23"/>
    </row>
    <row r="89" spans="2:12" x14ac:dyDescent="0.25">
      <c r="B89" s="18">
        <v>8</v>
      </c>
      <c r="C89" s="19" t="s">
        <v>176</v>
      </c>
      <c r="D89" s="20" t="s">
        <v>177</v>
      </c>
      <c r="E89" s="21">
        <v>0</v>
      </c>
      <c r="F89" s="22"/>
      <c r="G89" s="22"/>
      <c r="H89" s="23"/>
      <c r="I89" s="21">
        <f>369.38-1.5-1.5</f>
        <v>366.38</v>
      </c>
      <c r="J89" s="22">
        <f>210.67-1.5-22.99</f>
        <v>186.17999999999998</v>
      </c>
      <c r="K89" s="22">
        <f>1.5+1.5</f>
        <v>3</v>
      </c>
      <c r="L89" s="23">
        <v>1.5</v>
      </c>
    </row>
    <row r="90" spans="2:12" x14ac:dyDescent="0.25">
      <c r="B90" s="18">
        <v>8</v>
      </c>
      <c r="C90" s="19" t="s">
        <v>178</v>
      </c>
      <c r="D90" s="20" t="s">
        <v>179</v>
      </c>
      <c r="E90" s="21">
        <v>108.12</v>
      </c>
      <c r="F90" s="22">
        <v>40.08</v>
      </c>
      <c r="G90" s="22"/>
      <c r="H90" s="23"/>
      <c r="I90" s="21">
        <f>1228.99-6-3-13</f>
        <v>1206.99</v>
      </c>
      <c r="J90" s="22">
        <v>1022.91</v>
      </c>
      <c r="K90" s="22">
        <f>13+3+6</f>
        <v>22</v>
      </c>
      <c r="L90" s="23">
        <v>6</v>
      </c>
    </row>
    <row r="91" spans="2:12" x14ac:dyDescent="0.25">
      <c r="B91" s="18">
        <v>8</v>
      </c>
      <c r="C91" s="19" t="s">
        <v>180</v>
      </c>
      <c r="D91" s="20" t="s">
        <v>181</v>
      </c>
      <c r="E91" s="21">
        <v>27.35</v>
      </c>
      <c r="F91" s="22"/>
      <c r="G91" s="22"/>
      <c r="H91" s="23"/>
      <c r="I91" s="21">
        <f>140.12+147.84+152.32</f>
        <v>440.28000000000003</v>
      </c>
      <c r="J91" s="22"/>
      <c r="K91" s="22">
        <f>12+13.5+46.2+25+35+43+77+72</f>
        <v>323.7</v>
      </c>
      <c r="L91" s="23"/>
    </row>
    <row r="92" spans="2:12" x14ac:dyDescent="0.25">
      <c r="B92" s="18">
        <v>8</v>
      </c>
      <c r="C92" s="19" t="s">
        <v>182</v>
      </c>
      <c r="D92" s="20" t="s">
        <v>183</v>
      </c>
      <c r="E92" s="21">
        <v>144.78</v>
      </c>
      <c r="F92" s="22"/>
      <c r="G92" s="22"/>
      <c r="H92" s="23"/>
      <c r="I92" s="21">
        <f>1453.15-2.4</f>
        <v>1450.75</v>
      </c>
      <c r="J92" s="22">
        <v>1304.47</v>
      </c>
      <c r="K92" s="22">
        <v>2.4</v>
      </c>
      <c r="L92" s="23"/>
    </row>
    <row r="93" spans="2:12" x14ac:dyDescent="0.25">
      <c r="B93" s="18">
        <v>8</v>
      </c>
      <c r="C93" s="19" t="s">
        <v>184</v>
      </c>
      <c r="D93" s="20" t="s">
        <v>185</v>
      </c>
      <c r="E93" s="21">
        <v>84.42</v>
      </c>
      <c r="F93" s="22"/>
      <c r="G93" s="22"/>
      <c r="H93" s="23"/>
      <c r="I93" s="21">
        <v>1279.8699999999999</v>
      </c>
      <c r="J93" s="22">
        <f>84.42+40.08+40.08+136.08+452.62+156.45+156.45+266.64+13.34+245.99+232.65+40.08</f>
        <v>1864.88</v>
      </c>
      <c r="K93" s="22"/>
      <c r="L93" s="23"/>
    </row>
    <row r="94" spans="2:12" x14ac:dyDescent="0.25">
      <c r="B94" s="18">
        <v>8</v>
      </c>
      <c r="C94" s="19" t="s">
        <v>186</v>
      </c>
      <c r="D94" s="20" t="s">
        <v>187</v>
      </c>
      <c r="E94" s="21">
        <v>0</v>
      </c>
      <c r="F94" s="22"/>
      <c r="G94" s="26"/>
      <c r="H94" s="23"/>
      <c r="I94" s="21">
        <f>436.46-2-18.6-41.1-34.1</f>
        <v>340.65999999999991</v>
      </c>
      <c r="J94" s="22"/>
      <c r="K94" s="26">
        <f>2+18.6+41.1+34.1</f>
        <v>95.800000000000011</v>
      </c>
      <c r="L94" s="23"/>
    </row>
    <row r="95" spans="2:12" x14ac:dyDescent="0.25">
      <c r="B95" s="18">
        <v>8</v>
      </c>
      <c r="C95" s="19" t="s">
        <v>188</v>
      </c>
      <c r="D95" s="20" t="s">
        <v>189</v>
      </c>
      <c r="E95" s="21">
        <v>0</v>
      </c>
      <c r="F95" s="22"/>
      <c r="G95" s="22"/>
      <c r="H95" s="23"/>
      <c r="I95" s="21">
        <v>23.04</v>
      </c>
      <c r="J95" s="22">
        <v>23.04</v>
      </c>
      <c r="K95" s="22">
        <v>6</v>
      </c>
      <c r="L95" s="23">
        <v>6</v>
      </c>
    </row>
    <row r="96" spans="2:12" x14ac:dyDescent="0.25">
      <c r="B96" s="18">
        <v>8</v>
      </c>
      <c r="C96" s="19" t="s">
        <v>190</v>
      </c>
      <c r="D96" s="20" t="s">
        <v>191</v>
      </c>
      <c r="E96" s="21">
        <v>27.35</v>
      </c>
      <c r="F96" s="22"/>
      <c r="G96" s="22"/>
      <c r="H96" s="23"/>
      <c r="I96" s="21">
        <v>1376.14</v>
      </c>
      <c r="J96" s="22">
        <v>1403.49</v>
      </c>
      <c r="K96" s="22"/>
      <c r="L96" s="23"/>
    </row>
    <row r="97" spans="2:12" x14ac:dyDescent="0.25">
      <c r="B97" s="18">
        <v>8</v>
      </c>
      <c r="C97" s="19" t="s">
        <v>192</v>
      </c>
      <c r="D97" s="20" t="s">
        <v>193</v>
      </c>
      <c r="E97" s="21">
        <v>101.64</v>
      </c>
      <c r="F97" s="22">
        <v>101.64</v>
      </c>
      <c r="G97" s="22"/>
      <c r="H97" s="23"/>
      <c r="I97" s="21">
        <v>2541.54</v>
      </c>
      <c r="J97" s="22">
        <f>2000.09-4.23</f>
        <v>1995.86</v>
      </c>
      <c r="K97" s="22"/>
      <c r="L97" s="23"/>
    </row>
    <row r="98" spans="2:12" x14ac:dyDescent="0.25">
      <c r="B98" s="18">
        <v>8</v>
      </c>
      <c r="C98" s="19" t="s">
        <v>194</v>
      </c>
      <c r="D98" s="20" t="s">
        <v>195</v>
      </c>
      <c r="E98" s="21">
        <v>119.08</v>
      </c>
      <c r="F98" s="22"/>
      <c r="G98" s="22">
        <f>17+17</f>
        <v>34</v>
      </c>
      <c r="H98" s="23"/>
      <c r="I98" s="21">
        <v>7578.64</v>
      </c>
      <c r="J98" s="22">
        <f>6406.63-197-210-249</f>
        <v>5750.63</v>
      </c>
      <c r="K98" s="22"/>
      <c r="L98" s="23">
        <v>17</v>
      </c>
    </row>
    <row r="99" spans="2:12" x14ac:dyDescent="0.25">
      <c r="B99" s="18">
        <v>8</v>
      </c>
      <c r="C99" s="19" t="s">
        <v>196</v>
      </c>
      <c r="D99" s="20" t="s">
        <v>197</v>
      </c>
      <c r="E99" s="21">
        <v>58.32</v>
      </c>
      <c r="F99" s="22"/>
      <c r="G99" s="22"/>
      <c r="H99" s="23"/>
      <c r="I99" s="21">
        <f>376.96-35.4</f>
        <v>341.56</v>
      </c>
      <c r="J99" s="22"/>
      <c r="K99" s="22">
        <f>1.5+11+21.9+1</f>
        <v>35.4</v>
      </c>
      <c r="L99" s="23"/>
    </row>
    <row r="100" spans="2:12" x14ac:dyDescent="0.25">
      <c r="B100" s="18">
        <v>8</v>
      </c>
      <c r="C100" s="19" t="s">
        <v>198</v>
      </c>
      <c r="D100" s="20" t="s">
        <v>199</v>
      </c>
      <c r="E100" s="21">
        <v>255.44</v>
      </c>
      <c r="F100" s="22">
        <v>255.4</v>
      </c>
      <c r="G100" s="22">
        <v>30</v>
      </c>
      <c r="H100" s="23">
        <f>10+10</f>
        <v>20</v>
      </c>
      <c r="I100" s="21">
        <f>3535.91-58</f>
        <v>3477.91</v>
      </c>
      <c r="J100" s="22">
        <f>3310.02-27-10-3.55-9.96</f>
        <v>3259.5099999999998</v>
      </c>
      <c r="K100" s="22">
        <f>10+6+3+12+27</f>
        <v>58</v>
      </c>
      <c r="L100" s="23">
        <f>27+10</f>
        <v>37</v>
      </c>
    </row>
    <row r="101" spans="2:12" x14ac:dyDescent="0.25">
      <c r="B101" s="18">
        <v>8</v>
      </c>
      <c r="C101" s="19" t="s">
        <v>200</v>
      </c>
      <c r="D101" s="20" t="s">
        <v>201</v>
      </c>
      <c r="E101" s="21">
        <v>36.47</v>
      </c>
      <c r="F101" s="22"/>
      <c r="G101" s="22"/>
      <c r="H101" s="23"/>
      <c r="I101" s="21">
        <f>729.46-5</f>
        <v>724.46</v>
      </c>
      <c r="J101" s="22">
        <f>760.93</f>
        <v>760.93</v>
      </c>
      <c r="K101" s="22">
        <v>5</v>
      </c>
      <c r="L101" s="23"/>
    </row>
    <row r="102" spans="2:12" x14ac:dyDescent="0.25">
      <c r="B102" s="18">
        <v>8</v>
      </c>
      <c r="C102" s="19" t="s">
        <v>202</v>
      </c>
      <c r="D102" s="20" t="s">
        <v>203</v>
      </c>
      <c r="E102" s="21">
        <v>0</v>
      </c>
      <c r="F102" s="22"/>
      <c r="G102" s="22"/>
      <c r="H102" s="23"/>
      <c r="I102" s="21">
        <f>325.32-225.8</f>
        <v>99.519999999999982</v>
      </c>
      <c r="J102" s="22"/>
      <c r="K102" s="22">
        <f>5+13.7+26.4+28.9+37.6+58+56.2</f>
        <v>225.8</v>
      </c>
      <c r="L102" s="23"/>
    </row>
    <row r="103" spans="2:12" x14ac:dyDescent="0.25">
      <c r="B103" s="18">
        <v>8</v>
      </c>
      <c r="C103" s="19" t="s">
        <v>204</v>
      </c>
      <c r="D103" s="20" t="s">
        <v>205</v>
      </c>
      <c r="E103" s="21">
        <v>0</v>
      </c>
      <c r="F103" s="22"/>
      <c r="G103" s="22"/>
      <c r="H103" s="23"/>
      <c r="I103" s="21">
        <v>0</v>
      </c>
      <c r="J103" s="22"/>
      <c r="K103" s="22"/>
      <c r="L103" s="23"/>
    </row>
    <row r="104" spans="2:12" x14ac:dyDescent="0.25">
      <c r="B104" s="18">
        <v>8</v>
      </c>
      <c r="C104" s="19" t="s">
        <v>206</v>
      </c>
      <c r="D104" s="20" t="s">
        <v>207</v>
      </c>
      <c r="E104" s="21">
        <f>7377.28</f>
        <v>7377.28</v>
      </c>
      <c r="F104" s="22"/>
      <c r="G104" s="22"/>
      <c r="H104" s="23"/>
      <c r="I104" s="21">
        <v>30430.26</v>
      </c>
      <c r="J104" s="22">
        <f>29251.78-175.82</f>
        <v>29075.96</v>
      </c>
      <c r="K104" s="22"/>
      <c r="L104" s="23"/>
    </row>
    <row r="105" spans="2:12" x14ac:dyDescent="0.25">
      <c r="B105" s="18">
        <v>8</v>
      </c>
      <c r="C105" s="19" t="s">
        <v>208</v>
      </c>
      <c r="D105" s="20" t="s">
        <v>209</v>
      </c>
      <c r="E105" s="21">
        <v>26.68</v>
      </c>
      <c r="F105" s="22"/>
      <c r="G105" s="22"/>
      <c r="H105" s="23"/>
      <c r="I105" s="21">
        <f>359.77-107.3</f>
        <v>252.46999999999997</v>
      </c>
      <c r="J105" s="22">
        <f>305.65-27.7-75.6</f>
        <v>202.35</v>
      </c>
      <c r="K105" s="22">
        <f>2.5+6.7+19.7+19.2+22.2+21.6+8.4+7</f>
        <v>107.30000000000001</v>
      </c>
      <c r="L105" s="23">
        <f>6.7+19.7+19.2+21.6+8.4</f>
        <v>75.599999999999994</v>
      </c>
    </row>
    <row r="106" spans="2:12" x14ac:dyDescent="0.25">
      <c r="B106" s="18">
        <v>8</v>
      </c>
      <c r="C106" s="19" t="s">
        <v>210</v>
      </c>
      <c r="D106" s="20" t="s">
        <v>211</v>
      </c>
      <c r="E106" s="21">
        <v>23.04</v>
      </c>
      <c r="F106" s="22"/>
      <c r="G106" s="22"/>
      <c r="H106" s="23"/>
      <c r="I106" s="21">
        <v>534.01</v>
      </c>
      <c r="J106" s="22">
        <v>583.87</v>
      </c>
      <c r="K106" s="22"/>
      <c r="L106" s="23"/>
    </row>
    <row r="107" spans="2:12" x14ac:dyDescent="0.25">
      <c r="B107" s="18">
        <v>8</v>
      </c>
      <c r="C107" s="19" t="s">
        <v>212</v>
      </c>
      <c r="D107" s="20" t="s">
        <v>213</v>
      </c>
      <c r="E107" s="21">
        <v>0</v>
      </c>
      <c r="F107" s="22"/>
      <c r="G107" s="22"/>
      <c r="H107" s="23"/>
      <c r="I107" s="21">
        <f>362.7-26.3</f>
        <v>336.4</v>
      </c>
      <c r="J107" s="22">
        <f>805.49-17.8-442.79</f>
        <v>344.90000000000003</v>
      </c>
      <c r="K107" s="22">
        <f>12.3+5.5+7.5+1</f>
        <v>26.3</v>
      </c>
      <c r="L107" s="23">
        <f>12.3+5.5</f>
        <v>17.8</v>
      </c>
    </row>
    <row r="108" spans="2:12" x14ac:dyDescent="0.25">
      <c r="B108" s="18">
        <v>8</v>
      </c>
      <c r="C108" s="19" t="s">
        <v>214</v>
      </c>
      <c r="D108" s="20" t="s">
        <v>215</v>
      </c>
      <c r="E108" s="27">
        <v>0</v>
      </c>
      <c r="F108" s="28"/>
      <c r="G108" s="28"/>
      <c r="H108" s="29"/>
      <c r="I108" s="27">
        <f>382.28-8</f>
        <v>374.28</v>
      </c>
      <c r="J108" s="28">
        <f>23.04+136.2+53.46+53.46+40.08+40.08+68.04</f>
        <v>414.35999999999996</v>
      </c>
      <c r="K108" s="28">
        <f>2+6</f>
        <v>8</v>
      </c>
      <c r="L108" s="29">
        <f>2+6</f>
        <v>8</v>
      </c>
    </row>
    <row r="109" spans="2:12" x14ac:dyDescent="0.25">
      <c r="B109" s="18">
        <v>8</v>
      </c>
      <c r="C109" s="19" t="s">
        <v>216</v>
      </c>
      <c r="D109" s="20" t="s">
        <v>217</v>
      </c>
      <c r="E109" s="27">
        <v>40.08</v>
      </c>
      <c r="F109" s="28">
        <v>40.08</v>
      </c>
      <c r="G109" s="28"/>
      <c r="H109" s="29"/>
      <c r="I109" s="27">
        <v>555.6</v>
      </c>
      <c r="J109" s="28">
        <v>389.25</v>
      </c>
      <c r="K109" s="28"/>
      <c r="L109" s="29"/>
    </row>
    <row r="110" spans="2:12" x14ac:dyDescent="0.25">
      <c r="B110" s="18">
        <v>8</v>
      </c>
      <c r="C110" s="19" t="s">
        <v>218</v>
      </c>
      <c r="D110" s="20" t="s">
        <v>219</v>
      </c>
      <c r="E110" s="27">
        <v>0</v>
      </c>
      <c r="F110" s="28"/>
      <c r="G110" s="28"/>
      <c r="H110" s="29"/>
      <c r="I110" s="27">
        <v>101.64</v>
      </c>
      <c r="J110" s="28">
        <v>101.64</v>
      </c>
      <c r="K110" s="28"/>
      <c r="L110" s="29"/>
    </row>
    <row r="111" spans="2:12" x14ac:dyDescent="0.25">
      <c r="B111" s="18">
        <v>8</v>
      </c>
      <c r="C111" s="19" t="s">
        <v>220</v>
      </c>
      <c r="D111" s="20" t="s">
        <v>221</v>
      </c>
      <c r="E111" s="27">
        <v>0</v>
      </c>
      <c r="F111" s="28"/>
      <c r="G111" s="28"/>
      <c r="H111" s="29"/>
      <c r="I111" s="27">
        <v>991.15</v>
      </c>
      <c r="J111" s="28">
        <v>880.79</v>
      </c>
      <c r="K111" s="28"/>
      <c r="L111" s="29"/>
    </row>
    <row r="112" spans="2:12" x14ac:dyDescent="0.25">
      <c r="B112" s="18">
        <v>8</v>
      </c>
      <c r="C112" s="19" t="s">
        <v>222</v>
      </c>
      <c r="D112" s="20" t="s">
        <v>223</v>
      </c>
      <c r="E112" s="27">
        <v>0</v>
      </c>
      <c r="F112" s="28"/>
      <c r="G112" s="28"/>
      <c r="H112" s="29"/>
      <c r="I112" s="27">
        <v>1186.48</v>
      </c>
      <c r="J112" s="28">
        <f>1190.65-4.51</f>
        <v>1186.1400000000001</v>
      </c>
      <c r="K112" s="28"/>
      <c r="L112" s="29"/>
    </row>
    <row r="113" spans="2:12" x14ac:dyDescent="0.25">
      <c r="B113" s="18">
        <v>8</v>
      </c>
      <c r="C113" s="19" t="s">
        <v>224</v>
      </c>
      <c r="D113" s="20" t="s">
        <v>225</v>
      </c>
      <c r="E113" s="27">
        <v>0</v>
      </c>
      <c r="F113" s="28"/>
      <c r="G113" s="28"/>
      <c r="H113" s="29"/>
      <c r="I113" s="27">
        <v>0</v>
      </c>
      <c r="J113" s="28"/>
      <c r="K113" s="28"/>
      <c r="L113" s="29"/>
    </row>
    <row r="114" spans="2:12" x14ac:dyDescent="0.25">
      <c r="B114" s="18">
        <v>8</v>
      </c>
      <c r="C114" s="19" t="s">
        <v>226</v>
      </c>
      <c r="D114" s="20" t="s">
        <v>227</v>
      </c>
      <c r="E114" s="27">
        <v>1580.37</v>
      </c>
      <c r="F114" s="28">
        <f>726.7</f>
        <v>726.7</v>
      </c>
      <c r="G114" s="28"/>
      <c r="H114" s="29"/>
      <c r="I114" s="27">
        <v>18786.48</v>
      </c>
      <c r="J114" s="28">
        <f>17486-10.59</f>
        <v>17475.41</v>
      </c>
      <c r="K114" s="28"/>
      <c r="L114" s="29"/>
    </row>
    <row r="115" spans="2:12" x14ac:dyDescent="0.25">
      <c r="B115" s="18">
        <v>8</v>
      </c>
      <c r="C115" s="19" t="s">
        <v>228</v>
      </c>
      <c r="D115" s="20" t="s">
        <v>229</v>
      </c>
      <c r="E115" s="27">
        <v>71.7</v>
      </c>
      <c r="F115" s="28"/>
      <c r="G115" s="28"/>
      <c r="H115" s="29"/>
      <c r="I115" s="27">
        <v>1150.0999999999999</v>
      </c>
      <c r="J115" s="28">
        <v>1206.17</v>
      </c>
      <c r="K115" s="28"/>
      <c r="L115" s="29"/>
    </row>
    <row r="116" spans="2:12" x14ac:dyDescent="0.25">
      <c r="B116" s="18">
        <v>8</v>
      </c>
      <c r="C116" s="19" t="s">
        <v>230</v>
      </c>
      <c r="D116" s="20" t="s">
        <v>231</v>
      </c>
      <c r="E116" s="27">
        <v>71.7</v>
      </c>
      <c r="F116" s="28">
        <v>71.7</v>
      </c>
      <c r="G116" s="28"/>
      <c r="H116" s="29"/>
      <c r="I116" s="27">
        <v>474.01</v>
      </c>
      <c r="J116" s="28">
        <v>429.41</v>
      </c>
      <c r="K116" s="28"/>
      <c r="L116" s="29"/>
    </row>
    <row r="117" spans="2:12" x14ac:dyDescent="0.25">
      <c r="B117" s="18">
        <v>8</v>
      </c>
      <c r="C117" s="19" t="s">
        <v>232</v>
      </c>
      <c r="D117" s="20" t="s">
        <v>233</v>
      </c>
      <c r="E117" s="27">
        <v>249</v>
      </c>
      <c r="F117" s="28"/>
      <c r="G117" s="28"/>
      <c r="H117" s="29"/>
      <c r="I117" s="27">
        <v>1538.87</v>
      </c>
      <c r="J117" s="28">
        <v>1787.87</v>
      </c>
      <c r="K117" s="28"/>
      <c r="L117" s="29"/>
    </row>
    <row r="118" spans="2:12" x14ac:dyDescent="0.25">
      <c r="B118" s="18">
        <v>8</v>
      </c>
      <c r="C118" s="19" t="s">
        <v>234</v>
      </c>
      <c r="D118" s="20" t="s">
        <v>235</v>
      </c>
      <c r="E118" s="27">
        <v>2584.7399999999998</v>
      </c>
      <c r="F118" s="28">
        <v>1852.51</v>
      </c>
      <c r="G118" s="28"/>
      <c r="H118" s="29"/>
      <c r="I118" s="27">
        <v>17456.86</v>
      </c>
      <c r="J118" s="28">
        <f>18189.09-335.38</f>
        <v>17853.71</v>
      </c>
      <c r="K118" s="28"/>
      <c r="L118" s="29"/>
    </row>
    <row r="119" spans="2:12" x14ac:dyDescent="0.25">
      <c r="B119" s="18">
        <v>8</v>
      </c>
      <c r="C119" s="19" t="s">
        <v>236</v>
      </c>
      <c r="D119" s="20" t="s">
        <v>237</v>
      </c>
      <c r="E119" s="27">
        <f>239.4</f>
        <v>239.4</v>
      </c>
      <c r="F119" s="28"/>
      <c r="G119" s="28">
        <v>24</v>
      </c>
      <c r="H119" s="29">
        <v>12</v>
      </c>
      <c r="I119" s="27">
        <v>1867.83</v>
      </c>
      <c r="J119" s="28">
        <v>1672.76</v>
      </c>
      <c r="K119" s="28"/>
      <c r="L119" s="29"/>
    </row>
    <row r="120" spans="2:12" x14ac:dyDescent="0.25">
      <c r="B120" s="18">
        <v>8</v>
      </c>
      <c r="C120" s="19" t="s">
        <v>238</v>
      </c>
      <c r="D120" s="20" t="s">
        <v>239</v>
      </c>
      <c r="E120" s="27">
        <f>2029.13-15</f>
        <v>2014.13</v>
      </c>
      <c r="F120" s="28">
        <f>166.5+228+33.49+592.35</f>
        <v>1020.34</v>
      </c>
      <c r="G120" s="28">
        <v>15</v>
      </c>
      <c r="H120" s="29"/>
      <c r="I120" s="27">
        <v>25564.69</v>
      </c>
      <c r="J120" s="28">
        <f>1008.79+3447.45+2496.24+1397.1+2424.27+3213.62+751.8+1150.2+172.38+152.32</f>
        <v>16214.17</v>
      </c>
      <c r="K120" s="28"/>
      <c r="L120" s="29"/>
    </row>
    <row r="121" spans="2:12" x14ac:dyDescent="0.25">
      <c r="B121" s="18">
        <v>8</v>
      </c>
      <c r="C121" s="19" t="s">
        <v>240</v>
      </c>
      <c r="D121" s="20" t="s">
        <v>241</v>
      </c>
      <c r="E121" s="27">
        <v>0</v>
      </c>
      <c r="F121" s="28"/>
      <c r="G121" s="28"/>
      <c r="H121" s="29"/>
      <c r="I121" s="27">
        <f>1516.95-76.5</f>
        <v>1440.45</v>
      </c>
      <c r="J121" s="28">
        <f>1373.01-199.41-76.5</f>
        <v>1097.0999999999999</v>
      </c>
      <c r="K121" s="28">
        <v>76.5</v>
      </c>
      <c r="L121" s="29">
        <v>76.5</v>
      </c>
    </row>
    <row r="122" spans="2:12" x14ac:dyDescent="0.25">
      <c r="B122" s="18">
        <v>8</v>
      </c>
      <c r="C122" s="19" t="s">
        <v>242</v>
      </c>
      <c r="D122" s="20" t="s">
        <v>243</v>
      </c>
      <c r="E122" s="27">
        <v>488.24</v>
      </c>
      <c r="F122" s="28"/>
      <c r="G122" s="28"/>
      <c r="H122" s="29"/>
      <c r="I122" s="27">
        <v>6416.59</v>
      </c>
      <c r="J122" s="28">
        <v>8500.39</v>
      </c>
      <c r="K122" s="28"/>
      <c r="L122" s="29"/>
    </row>
    <row r="123" spans="2:12" x14ac:dyDescent="0.25">
      <c r="B123" s="18">
        <v>8</v>
      </c>
      <c r="C123" s="19" t="s">
        <v>244</v>
      </c>
      <c r="D123" s="20" t="s">
        <v>245</v>
      </c>
      <c r="E123" s="27">
        <v>0</v>
      </c>
      <c r="F123" s="28"/>
      <c r="G123" s="28"/>
      <c r="H123" s="29"/>
      <c r="I123" s="27">
        <v>1187.3699999999999</v>
      </c>
      <c r="J123" s="28">
        <v>1124.19</v>
      </c>
      <c r="K123" s="28"/>
      <c r="L123" s="29"/>
    </row>
    <row r="124" spans="2:12" x14ac:dyDescent="0.25">
      <c r="B124" s="18">
        <v>8</v>
      </c>
      <c r="C124" s="19" t="s">
        <v>246</v>
      </c>
      <c r="D124" s="20" t="s">
        <v>247</v>
      </c>
      <c r="E124" s="27">
        <v>27.35</v>
      </c>
      <c r="F124" s="28"/>
      <c r="G124" s="28"/>
      <c r="H124" s="29"/>
      <c r="I124" s="27">
        <f>516.4-28</f>
        <v>488.4</v>
      </c>
      <c r="J124" s="28">
        <f>539.75-2-15-7</f>
        <v>515.75</v>
      </c>
      <c r="K124" s="28">
        <f>2+15+3+1+7</f>
        <v>28</v>
      </c>
      <c r="L124" s="29">
        <f>2+15+7</f>
        <v>24</v>
      </c>
    </row>
    <row r="125" spans="2:12" x14ac:dyDescent="0.25">
      <c r="B125" s="18">
        <v>8</v>
      </c>
      <c r="C125" s="19" t="s">
        <v>248</v>
      </c>
      <c r="D125" s="20" t="s">
        <v>249</v>
      </c>
      <c r="E125" s="27">
        <v>156.44999999999999</v>
      </c>
      <c r="F125" s="28"/>
      <c r="G125" s="28"/>
      <c r="H125" s="29"/>
      <c r="I125" s="27">
        <f>2116.91-3</f>
        <v>2113.91</v>
      </c>
      <c r="J125" s="28">
        <f>1518.79-3-7.18</f>
        <v>1508.61</v>
      </c>
      <c r="K125" s="28">
        <f>3</f>
        <v>3</v>
      </c>
      <c r="L125" s="29">
        <v>3</v>
      </c>
    </row>
    <row r="126" spans="2:12" x14ac:dyDescent="0.25">
      <c r="B126" s="18">
        <v>8</v>
      </c>
      <c r="C126" s="19" t="s">
        <v>250</v>
      </c>
      <c r="D126" s="20" t="s">
        <v>251</v>
      </c>
      <c r="E126" s="27">
        <v>7.34</v>
      </c>
      <c r="F126" s="28"/>
      <c r="G126" s="28"/>
      <c r="H126" s="29"/>
      <c r="I126" s="27">
        <v>485.27</v>
      </c>
      <c r="J126" s="28">
        <f>393.73-14.07</f>
        <v>379.66</v>
      </c>
      <c r="K126" s="28"/>
      <c r="L126" s="29"/>
    </row>
    <row r="127" spans="2:12" x14ac:dyDescent="0.25">
      <c r="B127" s="18">
        <v>8</v>
      </c>
      <c r="C127" s="19" t="s">
        <v>252</v>
      </c>
      <c r="D127" s="20" t="s">
        <v>253</v>
      </c>
      <c r="E127" s="27">
        <v>0</v>
      </c>
      <c r="F127" s="28"/>
      <c r="G127" s="28"/>
      <c r="H127" s="29"/>
      <c r="I127" s="27">
        <f>430.59-2.5</f>
        <v>428.09</v>
      </c>
      <c r="J127" s="28">
        <f>754.61-2.5-355.28</f>
        <v>396.83000000000004</v>
      </c>
      <c r="K127" s="28">
        <v>2.5</v>
      </c>
      <c r="L127" s="29">
        <v>2.5</v>
      </c>
    </row>
    <row r="128" spans="2:12" x14ac:dyDescent="0.25">
      <c r="B128" s="18">
        <v>8</v>
      </c>
      <c r="C128" s="19" t="s">
        <v>254</v>
      </c>
      <c r="D128" s="20" t="s">
        <v>255</v>
      </c>
      <c r="E128" s="27">
        <v>1214.32</v>
      </c>
      <c r="F128" s="28"/>
      <c r="G128" s="28"/>
      <c r="H128" s="29"/>
      <c r="I128" s="27">
        <v>12744.89</v>
      </c>
      <c r="J128" s="28">
        <f>11569.93-607.14</f>
        <v>10962.79</v>
      </c>
      <c r="K128" s="28"/>
      <c r="L128" s="29"/>
    </row>
    <row r="129" spans="2:12" x14ac:dyDescent="0.25">
      <c r="B129" s="18">
        <v>8</v>
      </c>
      <c r="C129" s="19" t="s">
        <v>256</v>
      </c>
      <c r="D129" s="20" t="s">
        <v>257</v>
      </c>
      <c r="E129" s="27">
        <v>71.97</v>
      </c>
      <c r="F129" s="28">
        <v>18.510000000000002</v>
      </c>
      <c r="G129" s="28"/>
      <c r="H129" s="29"/>
      <c r="I129" s="27">
        <f>817.88-16</f>
        <v>801.88</v>
      </c>
      <c r="J129" s="28">
        <f>705.07-4.62</f>
        <v>700.45</v>
      </c>
      <c r="K129" s="28">
        <f>4.5+8.5+1+2</f>
        <v>16</v>
      </c>
      <c r="L129" s="29"/>
    </row>
    <row r="130" spans="2:12" x14ac:dyDescent="0.25">
      <c r="B130" s="18">
        <v>8</v>
      </c>
      <c r="C130" s="19" t="s">
        <v>258</v>
      </c>
      <c r="D130" s="20" t="s">
        <v>259</v>
      </c>
      <c r="E130" s="27">
        <v>63.18</v>
      </c>
      <c r="F130" s="28">
        <v>63.18</v>
      </c>
      <c r="G130" s="28"/>
      <c r="H130" s="29"/>
      <c r="I130" s="27">
        <f>1669.08-3</f>
        <v>1666.08</v>
      </c>
      <c r="J130" s="28">
        <v>1360.52</v>
      </c>
      <c r="K130" s="28">
        <v>3</v>
      </c>
      <c r="L130" s="29"/>
    </row>
    <row r="131" spans="2:12" x14ac:dyDescent="0.25">
      <c r="B131" s="18">
        <v>8</v>
      </c>
      <c r="C131" s="19" t="s">
        <v>260</v>
      </c>
      <c r="D131" s="20" t="s">
        <v>261</v>
      </c>
      <c r="E131" s="27"/>
      <c r="F131" s="28" t="s">
        <v>262</v>
      </c>
      <c r="G131" s="28"/>
      <c r="H131" s="29"/>
      <c r="I131" s="27"/>
      <c r="J131" s="28" t="s">
        <v>262</v>
      </c>
      <c r="K131" s="28"/>
      <c r="L131" s="29"/>
    </row>
    <row r="132" spans="2:12" x14ac:dyDescent="0.25">
      <c r="B132" s="18">
        <v>8</v>
      </c>
      <c r="C132" s="19" t="s">
        <v>263</v>
      </c>
      <c r="D132" s="20" t="s">
        <v>264</v>
      </c>
      <c r="E132" s="27">
        <v>160.91999999999999</v>
      </c>
      <c r="F132" s="28">
        <v>160.91999999999999</v>
      </c>
      <c r="G132" s="28"/>
      <c r="H132" s="29"/>
      <c r="I132" s="27">
        <v>2375.4299999999998</v>
      </c>
      <c r="J132" s="28">
        <f>2322.56-169.2</f>
        <v>2153.36</v>
      </c>
      <c r="K132" s="28"/>
      <c r="L132" s="29"/>
    </row>
    <row r="133" spans="2:12" x14ac:dyDescent="0.25">
      <c r="B133" s="18">
        <v>8</v>
      </c>
      <c r="C133" s="19" t="s">
        <v>265</v>
      </c>
      <c r="D133" s="20" t="s">
        <v>266</v>
      </c>
      <c r="E133" s="27">
        <v>170.83</v>
      </c>
      <c r="F133" s="28">
        <v>18.510000000000002</v>
      </c>
      <c r="G133" s="28"/>
      <c r="H133" s="29"/>
      <c r="I133" s="27">
        <v>627.57000000000005</v>
      </c>
      <c r="J133" s="28">
        <v>780.03</v>
      </c>
      <c r="K133" s="28"/>
      <c r="L133" s="29"/>
    </row>
    <row r="134" spans="2:12" x14ac:dyDescent="0.25">
      <c r="B134" s="18">
        <v>8</v>
      </c>
      <c r="C134" s="19" t="s">
        <v>267</v>
      </c>
      <c r="D134" s="20" t="s">
        <v>268</v>
      </c>
      <c r="E134" s="27">
        <v>0</v>
      </c>
      <c r="F134" s="28"/>
      <c r="G134" s="28"/>
      <c r="H134" s="29"/>
      <c r="I134" s="27">
        <v>2273.91</v>
      </c>
      <c r="J134" s="28">
        <v>2492.6999999999998</v>
      </c>
      <c r="K134" s="28"/>
      <c r="L134" s="29"/>
    </row>
    <row r="135" spans="2:12" x14ac:dyDescent="0.25">
      <c r="B135" s="18">
        <v>8</v>
      </c>
      <c r="C135" s="19" t="s">
        <v>269</v>
      </c>
      <c r="D135" s="20" t="s">
        <v>270</v>
      </c>
      <c r="E135" s="27">
        <v>18.510000000000002</v>
      </c>
      <c r="F135" s="28">
        <v>18.510000000000002</v>
      </c>
      <c r="G135" s="28"/>
      <c r="H135" s="29"/>
      <c r="I135" s="27">
        <v>23.04</v>
      </c>
      <c r="J135" s="28">
        <v>23.04</v>
      </c>
      <c r="K135" s="28"/>
      <c r="L135" s="29"/>
    </row>
    <row r="136" spans="2:12" x14ac:dyDescent="0.25">
      <c r="B136" s="18">
        <v>8</v>
      </c>
      <c r="C136" s="19" t="s">
        <v>271</v>
      </c>
      <c r="D136" s="20" t="s">
        <v>272</v>
      </c>
      <c r="E136" s="27">
        <v>0</v>
      </c>
      <c r="F136" s="28"/>
      <c r="G136" s="28"/>
      <c r="H136" s="29"/>
      <c r="I136" s="27">
        <v>435.26</v>
      </c>
      <c r="J136" s="28">
        <v>435.26</v>
      </c>
      <c r="K136" s="28"/>
      <c r="L136" s="29"/>
    </row>
    <row r="137" spans="2:12" x14ac:dyDescent="0.25">
      <c r="B137" s="18">
        <v>8</v>
      </c>
      <c r="C137" s="19" t="s">
        <v>273</v>
      </c>
      <c r="D137" s="20" t="s">
        <v>274</v>
      </c>
      <c r="E137" s="27">
        <v>18.510000000000002</v>
      </c>
      <c r="F137" s="28">
        <v>18.510000000000002</v>
      </c>
      <c r="G137" s="28"/>
      <c r="H137" s="29"/>
      <c r="I137" s="27">
        <v>719.18</v>
      </c>
      <c r="J137" s="28">
        <v>622.16</v>
      </c>
      <c r="K137" s="28"/>
      <c r="L137" s="29"/>
    </row>
    <row r="138" spans="2:12" x14ac:dyDescent="0.25">
      <c r="B138" s="18">
        <v>8</v>
      </c>
      <c r="C138" s="19" t="s">
        <v>275</v>
      </c>
      <c r="D138" s="20" t="s">
        <v>276</v>
      </c>
      <c r="E138" s="27">
        <v>336.84</v>
      </c>
      <c r="F138" s="28">
        <v>101.64</v>
      </c>
      <c r="G138" s="28"/>
      <c r="H138" s="29"/>
      <c r="I138" s="27">
        <v>1904.13</v>
      </c>
      <c r="J138" s="28">
        <v>2094.2399999999998</v>
      </c>
      <c r="K138" s="28"/>
      <c r="L138" s="29"/>
    </row>
    <row r="139" spans="2:12" x14ac:dyDescent="0.25">
      <c r="B139" s="18">
        <v>8</v>
      </c>
      <c r="C139" s="19" t="s">
        <v>277</v>
      </c>
      <c r="D139" s="20" t="s">
        <v>278</v>
      </c>
      <c r="E139" s="27">
        <v>127.15</v>
      </c>
      <c r="F139" s="28"/>
      <c r="G139" s="28"/>
      <c r="H139" s="29"/>
      <c r="I139" s="27">
        <v>290.19</v>
      </c>
      <c r="J139" s="28">
        <f>385.31-47.7</f>
        <v>337.61</v>
      </c>
      <c r="K139" s="28"/>
      <c r="L139" s="29"/>
    </row>
    <row r="140" spans="2:12" x14ac:dyDescent="0.25">
      <c r="B140" s="18">
        <v>8</v>
      </c>
      <c r="C140" s="19" t="s">
        <v>279</v>
      </c>
      <c r="D140" s="20" t="s">
        <v>280</v>
      </c>
      <c r="E140" s="27">
        <v>119.08</v>
      </c>
      <c r="F140" s="28"/>
      <c r="G140" s="28"/>
      <c r="H140" s="29"/>
      <c r="I140" s="27">
        <v>919.94</v>
      </c>
      <c r="J140" s="28">
        <f>607.49-8.8-50.04</f>
        <v>548.65000000000009</v>
      </c>
      <c r="K140" s="28"/>
      <c r="L140" s="29"/>
    </row>
    <row r="141" spans="2:12" x14ac:dyDescent="0.25">
      <c r="B141" s="18">
        <v>8</v>
      </c>
      <c r="C141" s="19" t="s">
        <v>281</v>
      </c>
      <c r="D141" s="20" t="s">
        <v>282</v>
      </c>
      <c r="E141" s="27">
        <v>79.73</v>
      </c>
      <c r="F141" s="28"/>
      <c r="G141" s="28"/>
      <c r="H141" s="29"/>
      <c r="I141" s="27">
        <f>1418.16-143.2</f>
        <v>1274.96</v>
      </c>
      <c r="J141" s="28">
        <f>1349.67-15-36-36-5</f>
        <v>1257.67</v>
      </c>
      <c r="K141" s="28">
        <f>15+22.7+36+36+23.5+5+5</f>
        <v>143.19999999999999</v>
      </c>
      <c r="L141" s="29">
        <f>15+36+36+5</f>
        <v>92</v>
      </c>
    </row>
    <row r="142" spans="2:12" x14ac:dyDescent="0.25">
      <c r="B142" s="18">
        <v>8</v>
      </c>
      <c r="C142" s="19" t="s">
        <v>283</v>
      </c>
      <c r="D142" s="20" t="s">
        <v>284</v>
      </c>
      <c r="E142" s="27">
        <v>0</v>
      </c>
      <c r="F142" s="28"/>
      <c r="G142" s="28"/>
      <c r="H142" s="29"/>
      <c r="I142" s="27">
        <f>388.3-5</f>
        <v>383.3</v>
      </c>
      <c r="J142" s="28"/>
      <c r="K142" s="28">
        <v>5</v>
      </c>
      <c r="L142" s="29"/>
    </row>
    <row r="143" spans="2:12" x14ac:dyDescent="0.25">
      <c r="B143" s="18">
        <v>8</v>
      </c>
      <c r="C143" s="19" t="s">
        <v>285</v>
      </c>
      <c r="D143" s="20" t="s">
        <v>286</v>
      </c>
      <c r="E143" s="27">
        <v>0</v>
      </c>
      <c r="F143" s="28"/>
      <c r="G143" s="28"/>
      <c r="H143" s="29"/>
      <c r="I143" s="27">
        <f>516.32-77</f>
        <v>439.32000000000005</v>
      </c>
      <c r="J143" s="28">
        <f>1182.27-13.5-21-903.35</f>
        <v>244.41999999999996</v>
      </c>
      <c r="K143" s="28">
        <f>13.5+4.5+21+38</f>
        <v>77</v>
      </c>
      <c r="L143" s="29">
        <f>13.5+21</f>
        <v>34.5</v>
      </c>
    </row>
    <row r="144" spans="2:12" x14ac:dyDescent="0.25">
      <c r="B144" s="18">
        <v>8</v>
      </c>
      <c r="C144" s="19" t="s">
        <v>287</v>
      </c>
      <c r="D144" s="20" t="s">
        <v>288</v>
      </c>
      <c r="E144" s="27">
        <v>50.1</v>
      </c>
      <c r="F144" s="28"/>
      <c r="G144" s="28"/>
      <c r="H144" s="29"/>
      <c r="I144" s="27">
        <v>614.27</v>
      </c>
      <c r="J144" s="28">
        <f>50.1+138.05+545.88+123.12+31.26+168.13+27.35</f>
        <v>1083.8899999999999</v>
      </c>
      <c r="K144" s="28"/>
      <c r="L144" s="29"/>
    </row>
    <row r="145" spans="2:12" x14ac:dyDescent="0.25">
      <c r="B145" s="18">
        <v>8</v>
      </c>
      <c r="C145" s="19" t="s">
        <v>289</v>
      </c>
      <c r="D145" s="20" t="s">
        <v>290</v>
      </c>
      <c r="E145" s="27">
        <f>115.4-6</f>
        <v>109.4</v>
      </c>
      <c r="F145" s="28"/>
      <c r="G145" s="28">
        <v>6</v>
      </c>
      <c r="H145" s="29"/>
      <c r="I145" s="27"/>
      <c r="J145" s="28">
        <f>109.4</f>
        <v>109.4</v>
      </c>
      <c r="K145" s="28"/>
      <c r="L145" s="29"/>
    </row>
    <row r="146" spans="2:12" x14ac:dyDescent="0.25">
      <c r="B146" s="30">
        <v>8</v>
      </c>
      <c r="C146" s="31"/>
      <c r="D146" s="32"/>
      <c r="E146" s="27"/>
      <c r="F146" s="28"/>
      <c r="G146" s="28"/>
      <c r="H146" s="29"/>
      <c r="I146" s="27"/>
      <c r="J146" s="28"/>
      <c r="K146" s="28"/>
      <c r="L146" s="29"/>
    </row>
    <row r="147" spans="2:12" x14ac:dyDescent="0.25">
      <c r="B147" s="30">
        <v>8</v>
      </c>
      <c r="C147" s="31"/>
      <c r="D147" s="32"/>
      <c r="E147" s="27"/>
      <c r="F147" s="28"/>
      <c r="G147" s="28"/>
      <c r="H147" s="29"/>
      <c r="I147" s="27"/>
      <c r="J147" s="28"/>
      <c r="K147" s="28"/>
      <c r="L147" s="29"/>
    </row>
    <row r="148" spans="2:12" x14ac:dyDescent="0.25">
      <c r="B148" s="30">
        <v>8</v>
      </c>
      <c r="C148" s="31"/>
      <c r="D148" s="32"/>
      <c r="E148" s="27"/>
      <c r="F148" s="28"/>
      <c r="G148" s="28"/>
      <c r="H148" s="29"/>
      <c r="I148" s="27"/>
      <c r="J148" s="28"/>
      <c r="K148" s="28"/>
      <c r="L148" s="29"/>
    </row>
    <row r="149" spans="2:12" x14ac:dyDescent="0.25">
      <c r="E149" s="33"/>
      <c r="F149" s="33"/>
      <c r="G149" s="33"/>
      <c r="H149" s="33"/>
      <c r="I149" s="33"/>
      <c r="J149" s="33"/>
      <c r="K149" s="33"/>
      <c r="L149" s="33"/>
    </row>
    <row r="150" spans="2:12" x14ac:dyDescent="0.25">
      <c r="D150" s="34" t="s">
        <v>291</v>
      </c>
      <c r="E150" s="35">
        <f t="shared" ref="E150:L150" si="0">SUM(E11:E148)</f>
        <v>47777.26999999999</v>
      </c>
      <c r="F150" s="36">
        <f t="shared" si="0"/>
        <v>10885.6</v>
      </c>
      <c r="G150" s="36">
        <f t="shared" si="0"/>
        <v>240.5</v>
      </c>
      <c r="H150" s="37">
        <f t="shared" si="0"/>
        <v>78.5</v>
      </c>
      <c r="I150" s="35">
        <f t="shared" si="0"/>
        <v>480122.32000000007</v>
      </c>
      <c r="J150" s="36">
        <f t="shared" si="0"/>
        <v>428433.36999999982</v>
      </c>
      <c r="K150" s="36">
        <f t="shared" si="0"/>
        <v>4358.6000000000004</v>
      </c>
      <c r="L150" s="37">
        <f t="shared" si="0"/>
        <v>1866.2999999999997</v>
      </c>
    </row>
  </sheetData>
  <sheetProtection sort="0" autoFilter="0"/>
  <mergeCells count="3">
    <mergeCell ref="B6:E7"/>
    <mergeCell ref="E9:H9"/>
    <mergeCell ref="I9:L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FDP Region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Jannelly Villarreal</dc:creator>
  <cp:lastModifiedBy>Jannelly Villarreal</cp:lastModifiedBy>
  <dcterms:created xsi:type="dcterms:W3CDTF">2022-08-16T20:21:50Z</dcterms:created>
  <dcterms:modified xsi:type="dcterms:W3CDTF">2022-09-12T18:30:00Z</dcterms:modified>
</cp:coreProperties>
</file>